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https://officemgmtentserv.sharepoint.com/sites/ProjectManagementDivision/Shared Documents/Alternative Funding/Grant - Applications/RAISE/2025/3. US-75 at 81st Street - Garver/Final/"/>
    </mc:Choice>
  </mc:AlternateContent>
  <xr:revisionPtr revIDLastSave="0" documentId="8_{15404DE7-F446-4F4A-8BA3-F6F5860BE613}" xr6:coauthVersionLast="47" xr6:coauthVersionMax="47" xr10:uidLastSave="{00000000-0000-0000-0000-000000000000}"/>
  <bookViews>
    <workbookView xWindow="-120" yWindow="-120" windowWidth="24240" windowHeight="13140" tabRatio="857" xr2:uid="{F6349FBE-C7F5-42C3-BCA9-42AEFD032BBB}"/>
  </bookViews>
  <sheets>
    <sheet name="Summary" sheetId="2" r:id="rId1"/>
    <sheet name="Inputs" sheetId="1" r:id="rId2"/>
    <sheet name="Project Costs" sheetId="21" r:id="rId3"/>
    <sheet name="Traffic" sheetId="23" r:id="rId4"/>
    <sheet name="Safety" sheetId="24" r:id="rId5"/>
    <sheet name="Time Savings" sheetId="26" r:id="rId6"/>
    <sheet name="Emissions" sheetId="29" r:id="rId7"/>
    <sheet name="Veh Op Costs" sheetId="35" r:id="rId8"/>
    <sheet name="Pedestrian" sheetId="28" r:id="rId9"/>
    <sheet name="Induced Peds" sheetId="41" r:id="rId10"/>
    <sheet name="Bridge Hits" sheetId="33" r:id="rId11"/>
    <sheet name="Residual Value" sheetId="22" r:id="rId12"/>
    <sheet name="Report Tables" sheetId="10" state="hidden" r:id="rId13"/>
    <sheet name="References-&gt;" sheetId="14" r:id="rId14"/>
    <sheet name="REF USDOT BCA 2025 Guidlines" sheetId="17" r:id="rId15"/>
    <sheet name="REF Project Costs" sheetId="18" r:id="rId16"/>
    <sheet name="REF Traffic" sheetId="20" r:id="rId17"/>
    <sheet name="REF Fuel Prices" sheetId="36" r:id="rId18"/>
    <sheet name="REF Pedestrian" sheetId="39" r:id="rId19"/>
    <sheet name="REF Accidents" sheetId="25" r:id="rId20"/>
    <sheet name="REF Bridge Hits" sheetId="32" r:id="rId21"/>
    <sheet name="REF GDP Deflator" sheetId="37" r:id="rId22"/>
  </sheets>
  <externalReferences>
    <externalReference r:id="rId23"/>
    <externalReference r:id="rId24"/>
  </externalReference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1</definedName>
    <definedName name="_AtRisk_SimSetting_ReportOptionReportsFileType" hidden="1">1</definedName>
    <definedName name="_AtRisk_SimSetting_ReportOptionSelectiveQR" hidden="1">FALSE</definedName>
    <definedName name="_AtRisk_SimSetting_ReportsList" hidden="1">1</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_Fill" hidden="1">#REF!</definedName>
    <definedName name="_Key1" hidden="1">#REF!</definedName>
    <definedName name="_Key2" hidden="1">#REF!</definedName>
    <definedName name="_Order1" hidden="1">255</definedName>
    <definedName name="_Order2" hidden="1">255</definedName>
    <definedName name="_Sort" hidden="1">#REF!</definedName>
    <definedName name="AccidentCost_Fatality">[1]Inputs!$D$139</definedName>
    <definedName name="AccidentCost_Injury">[1]Inputs!$D$142</definedName>
    <definedName name="AccidentCost_PDO">[1]Inputs!$D$143</definedName>
    <definedName name="Annualization_Factor">[1]Inputs!$D$130</definedName>
    <definedName name="AutoDetour">[1]Inputs!#REF!</definedName>
    <definedName name="Avg_Veh_Occ">[1]Inputs!$D$128</definedName>
    <definedName name="BaseYear">[1]Inputs!$D$6</definedName>
    <definedName name="BIG" hidden="1">{#N/A,#N/A,FALSE,"Pricing";#N/A,#N/A,FALSE,"Summary";#N/A,#N/A,FALSE,"CompProd";#N/A,#N/A,FALSE,"CompJobhrs";#N/A,#N/A,FALSE,"Escalation";#N/A,#N/A,FALSE,"Contingency";#N/A,#N/A,FALSE,"GM";#N/A,#N/A,FALSE,"CompWage";#N/A,#N/A,FALSE,"costSum"}</definedName>
    <definedName name="BridgeLength">[1]Inputs!#REF!</definedName>
    <definedName name="CHUCK" hidden="1">{#N/A,#N/A,FALSE,"Pricing";#N/A,#N/A,FALSE,"Summary";#N/A,#N/A,FALSE,"CompProd";#N/A,#N/A,FALSE,"CompJobhrs";#N/A,#N/A,FALSE,"Escalation";#N/A,#N/A,FALSE,"Contingency";#N/A,#N/A,FALSE,"GM";#N/A,#N/A,FALSE,"CompWage";#N/A,#N/A,FALSE,"costSum"}</definedName>
    <definedName name="CMF_WidenLane">[1]Inputs!#REF!</definedName>
    <definedName name="CrashRate_Bridge">[1]Inputs!#REF!</definedName>
    <definedName name="CrashRate_Detour">[1]Inputs!#REF!</definedName>
    <definedName name="DamagedVeh_PDOcrash">[1]Inputs!$D$127</definedName>
    <definedName name="DeflatorRate" localSheetId="17">[1]Inputs!$D$13</definedName>
    <definedName name="DeflatorRate">[2]Inputs!$E$12</definedName>
    <definedName name="DetourLength">[1]Inputs!#REF!</definedName>
    <definedName name="DetourTime">[1]Inputs!#REF!</definedName>
    <definedName name="EmissionCost_Auto1">#REF!</definedName>
    <definedName name="EmissionCost_Auto2">#REF!</definedName>
    <definedName name="EmissionCost_Truck1">#REF!</definedName>
    <definedName name="EmissionCost_Truck2">#REF!</definedName>
    <definedName name="HTML_CodePage" hidden="1">1252</definedName>
    <definedName name="HTML_Control" hidden="1">{"'2-35'!$A$1:$M$48"}</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"C:\WINNT\Profiles\dmegret\Desktop\current tasks\nts2000\nts2000\HTML\Ch2_web\2-35.htm"</definedName>
    <definedName name="HTML_Title" hidden="1">"Table 2-35"</definedName>
    <definedName name="JANA" hidden="1">{#N/A,#N/A,FALSE,"Pricing";#N/A,#N/A,FALSE,"Summary";#N/A,#N/A,FALSE,"CompProd";#N/A,#N/A,FALSE,"CompJobhrs";#N/A,#N/A,FALSE,"Escalation";#N/A,#N/A,FALSE,"Contingency";#N/A,#N/A,FALSE,"GM";#N/A,#N/A,FALSE,"CompWage";#N/A,#N/A,FALSE,"costSum"}</definedName>
    <definedName name="NumberInjuryperCrash_Bridge">[1]Inputs!$D$126</definedName>
    <definedName name="NumberInjuryperCrash_Detour">[1]Inputs!#REF!</definedName>
    <definedName name="OperatingCost_Passenger">[1]Inputs!$D$145</definedName>
    <definedName name="OperatingCost_Trucks">[1]Inputs!$D$146</definedName>
    <definedName name="Pal_Workbook_GUID" hidden="1">"6UQPV5GY3NZ6N5DC9LK87FZI"</definedName>
    <definedName name="PercentFatal_Bridge">[1]Inputs!#REF!</definedName>
    <definedName name="PercentFatal_Detour">[1]Inputs!#REF!</definedName>
    <definedName name="PercentInjury_Bridge">[1]Inputs!#REF!</definedName>
    <definedName name="PercentInjury_Detour">[1]Inputs!#REF!</definedName>
    <definedName name="PercentPDO_Bridge">[1]Inputs!#REF!</definedName>
    <definedName name="PercentPDO_Detour">[1]Inputs!#REF!</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SwapState" hidden="1">FALSE</definedName>
    <definedName name="RiskUpdateDisplay" hidden="1">FALSE</definedName>
    <definedName name="RiskUseDifferentSeedForEachSim" hidden="1">FALSE</definedName>
    <definedName name="RiskUseFixedSeed" hidden="1">TRUE</definedName>
    <definedName name="RiskUseMultipleCPUs" hidden="1">FALSE</definedName>
    <definedName name="RouteTime">[1]Inputs!#REF!</definedName>
    <definedName name="Services2" hidden="1">{#N/A,#N/A,FALSE,"Pricing";#N/A,#N/A,FALSE,"Summary";#N/A,#N/A,FALSE,"CompProd";#N/A,#N/A,FALSE,"CompJobhrs";#N/A,#N/A,FALSE,"Escalation";#N/A,#N/A,FALSE,"Contingency";#N/A,#N/A,FALSE,"GM";#N/A,#N/A,FALSE,"CompWage";#N/A,#N/A,FALSE,"costSum"}</definedName>
    <definedName name="ShareTruck">[1]Inputs!$D$27</definedName>
    <definedName name="temp" hidden="1">{#N/A,#N/A,FALSE,"Pricing";#N/A,#N/A,FALSE,"Summary";#N/A,#N/A,FALSE,"CompProd";#N/A,#N/A,FALSE,"CompJobhrs";#N/A,#N/A,FALSE,"Escalation";#N/A,#N/A,FALSE,"Contingency";#N/A,#N/A,FALSE,"GM";#N/A,#N/A,FALSE,"CompWage";#N/A,#N/A,FALSE,"costSum"}</definedName>
    <definedName name="TimeValue_truck">[1]Inputs!$D$136</definedName>
    <definedName name="TruckDetour">[1]Inputs!#REF!</definedName>
    <definedName name="tweet_784481064303591424" localSheetId="20">'REF Bridge Hits'!#REF!</definedName>
    <definedName name="tweet_784481374522793985" localSheetId="20">'REF Bridge Hits'!#REF!</definedName>
    <definedName name="tweet_784483338082017280" localSheetId="20">'REF Bridge Hits'!#REF!</definedName>
    <definedName name="wrn.all." hidden="1">{"sandu",#N/A,FALSE,"sandu";"flow",#N/A,FALSE,"base";"debt",#N/A,FALSE,"base";"subdebt",#N/A,FALSE,"subdebt";"operating",#N/A,FALSE,"base";"stress1",#N/A,FALSE,"stress1";"stress2",#N/A,FALSE,"stress2"}</definedName>
    <definedName name="wrn.ESTIMATE." hidden="1">{#N/A,#N/A,FALSE,"SUM";#N/A,#N/A,FALSE,"MECH.";#N/A,#N/A,FALSE,"PIPE";#N/A,#N/A,FALSE,"ELECT";#N/A,#N/A,FALSE,"PR CONT";#N/A,#N/A,FALSE,"STRUCT"}</definedName>
    <definedName name="wrn.Labor._.Cost._.Workbook." hidden="1">{#N/A,#N/A,FALSE,"RATES";#N/A,#N/A,FALSE,"LOADED RATES"}</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43" i="20" l="1"/>
  <c r="AA42" i="20"/>
  <c r="AA41" i="20"/>
  <c r="X43" i="20"/>
  <c r="X42" i="20"/>
  <c r="X41" i="20"/>
  <c r="AA33" i="20"/>
  <c r="AA32" i="20"/>
  <c r="AA31" i="20"/>
  <c r="X33" i="20"/>
  <c r="X32" i="20"/>
  <c r="X31" i="20"/>
  <c r="AA26" i="20"/>
  <c r="AA25" i="20"/>
  <c r="AA24" i="20"/>
  <c r="X26" i="20"/>
  <c r="X25" i="20"/>
  <c r="X24" i="20"/>
  <c r="AA18" i="20"/>
  <c r="AA17" i="20"/>
  <c r="AA16" i="20"/>
  <c r="X18" i="20"/>
  <c r="X17" i="20"/>
  <c r="X16" i="20"/>
  <c r="X8" i="20"/>
  <c r="A4" i="23"/>
  <c r="A4" i="21"/>
  <c r="A8" i="1"/>
  <c r="A7" i="1"/>
  <c r="A6" i="1"/>
  <c r="A5" i="1"/>
  <c r="A4" i="1"/>
  <c r="AR10" i="22"/>
  <c r="AR17" i="22"/>
  <c r="AQ10" i="22"/>
  <c r="AP10" i="22"/>
  <c r="AP17" i="22"/>
  <c r="AO10" i="22"/>
  <c r="AN10" i="22"/>
  <c r="AN17" i="22"/>
  <c r="AM10" i="22"/>
  <c r="AM16" i="22"/>
  <c r="AL10" i="22"/>
  <c r="AL17" i="22"/>
  <c r="AK10" i="22"/>
  <c r="AK17" i="22"/>
  <c r="AJ10" i="22"/>
  <c r="AJ16" i="22"/>
  <c r="AI10" i="22"/>
  <c r="AH10" i="22"/>
  <c r="AH17" i="22"/>
  <c r="AG10" i="22"/>
  <c r="AF10" i="22"/>
  <c r="AF15" i="22"/>
  <c r="AE10" i="22"/>
  <c r="AE15" i="22"/>
  <c r="AD10" i="22"/>
  <c r="AD17" i="22"/>
  <c r="AC10" i="22"/>
  <c r="AC17" i="22"/>
  <c r="AB10" i="22"/>
  <c r="AB16" i="22"/>
  <c r="AA10" i="22"/>
  <c r="Z10" i="22"/>
  <c r="Z17" i="22"/>
  <c r="Y10" i="22"/>
  <c r="X10" i="22"/>
  <c r="X17" i="22"/>
  <c r="W10" i="22"/>
  <c r="W15" i="22"/>
  <c r="V10" i="22"/>
  <c r="V17" i="22"/>
  <c r="U10" i="22"/>
  <c r="U17" i="22"/>
  <c r="T10" i="22"/>
  <c r="T17" i="22"/>
  <c r="S10" i="22"/>
  <c r="R10" i="22"/>
  <c r="R17" i="22"/>
  <c r="Q10" i="22"/>
  <c r="P10" i="22"/>
  <c r="O10" i="22"/>
  <c r="O16" i="22"/>
  <c r="N10" i="22"/>
  <c r="N17" i="22"/>
  <c r="M10" i="22"/>
  <c r="M15" i="22"/>
  <c r="L10" i="22"/>
  <c r="L15" i="22"/>
  <c r="K10" i="22"/>
  <c r="J10" i="22"/>
  <c r="I10" i="22"/>
  <c r="H10" i="22"/>
  <c r="G10" i="22"/>
  <c r="G16" i="22"/>
  <c r="F10" i="22"/>
  <c r="F15" i="22"/>
  <c r="AR10" i="33"/>
  <c r="AR17" i="33"/>
  <c r="AQ10" i="33"/>
  <c r="AQ17" i="33"/>
  <c r="AP10" i="33"/>
  <c r="AP17" i="33"/>
  <c r="AO10" i="33"/>
  <c r="AN10" i="33"/>
  <c r="AM10" i="33"/>
  <c r="AM16" i="33"/>
  <c r="AL10" i="33"/>
  <c r="AL15" i="33"/>
  <c r="AK10" i="33"/>
  <c r="AK15" i="33"/>
  <c r="AJ10" i="33"/>
  <c r="AJ16" i="33"/>
  <c r="AI10" i="33"/>
  <c r="AI17" i="33"/>
  <c r="AH10" i="33"/>
  <c r="AG10" i="33"/>
  <c r="AF10" i="33"/>
  <c r="AE10" i="33"/>
  <c r="AD10" i="33"/>
  <c r="AD17" i="33"/>
  <c r="AC10" i="33"/>
  <c r="AC15" i="33"/>
  <c r="AB10" i="33"/>
  <c r="AB16" i="33"/>
  <c r="AA10" i="33"/>
  <c r="AA16" i="33"/>
  <c r="Z10" i="33"/>
  <c r="Y10" i="33"/>
  <c r="X10" i="33"/>
  <c r="W10" i="33"/>
  <c r="W16" i="33"/>
  <c r="V10" i="33"/>
  <c r="V17" i="33"/>
  <c r="U10" i="33"/>
  <c r="U15" i="33"/>
  <c r="T10" i="33"/>
  <c r="T16" i="33"/>
  <c r="S10" i="33"/>
  <c r="S15" i="33"/>
  <c r="R10" i="33"/>
  <c r="Q10" i="33"/>
  <c r="P10" i="33"/>
  <c r="O10" i="33"/>
  <c r="O16" i="33"/>
  <c r="N10" i="33"/>
  <c r="N15" i="33"/>
  <c r="M10" i="33"/>
  <c r="M15" i="33"/>
  <c r="L10" i="33"/>
  <c r="L15" i="33"/>
  <c r="K10" i="33"/>
  <c r="K16" i="33"/>
  <c r="J10" i="33"/>
  <c r="I10" i="33"/>
  <c r="H10" i="33"/>
  <c r="G10" i="33"/>
  <c r="G16" i="33"/>
  <c r="F10" i="33"/>
  <c r="F16" i="33"/>
  <c r="AR10" i="41"/>
  <c r="AQ10" i="41"/>
  <c r="AQ15" i="41"/>
  <c r="AP10" i="41"/>
  <c r="AP15" i="41"/>
  <c r="AO10" i="41"/>
  <c r="AN10" i="41"/>
  <c r="AM10" i="41"/>
  <c r="AL10" i="41"/>
  <c r="AL17" i="41"/>
  <c r="AK10" i="41"/>
  <c r="AK15" i="41"/>
  <c r="AJ10" i="41"/>
  <c r="AI10" i="41"/>
  <c r="AI17" i="41"/>
  <c r="AH10" i="41"/>
  <c r="AH15" i="41"/>
  <c r="AG10" i="41"/>
  <c r="AF10" i="41"/>
  <c r="AE10" i="41"/>
  <c r="AD10" i="41"/>
  <c r="AD16" i="41"/>
  <c r="AC10" i="41"/>
  <c r="AC15" i="41"/>
  <c r="AB10" i="41"/>
  <c r="AA10" i="41"/>
  <c r="AA17" i="41"/>
  <c r="Z10" i="41"/>
  <c r="Z17" i="41"/>
  <c r="Y10" i="41"/>
  <c r="X10" i="41"/>
  <c r="W10" i="41"/>
  <c r="V10" i="41"/>
  <c r="V16" i="41"/>
  <c r="U10" i="41"/>
  <c r="U15" i="41"/>
  <c r="T10" i="41"/>
  <c r="S10" i="41"/>
  <c r="S16" i="41"/>
  <c r="R10" i="41"/>
  <c r="R17" i="41"/>
  <c r="Q10" i="41"/>
  <c r="P10" i="41"/>
  <c r="O10" i="41"/>
  <c r="N10" i="41"/>
  <c r="N16" i="41"/>
  <c r="M10" i="41"/>
  <c r="M15" i="41"/>
  <c r="L10" i="41"/>
  <c r="K10" i="41"/>
  <c r="K16" i="41"/>
  <c r="J10" i="41"/>
  <c r="J16" i="41"/>
  <c r="I10" i="41"/>
  <c r="H10" i="41"/>
  <c r="G10" i="41"/>
  <c r="F10" i="41"/>
  <c r="F17" i="41"/>
  <c r="AR10" i="28"/>
  <c r="AR17" i="28"/>
  <c r="AQ10" i="28"/>
  <c r="AP10" i="28"/>
  <c r="AP17" i="28"/>
  <c r="AO10" i="28"/>
  <c r="AO17" i="28"/>
  <c r="AN10" i="28"/>
  <c r="AN16" i="28"/>
  <c r="AM10" i="28"/>
  <c r="AL10" i="28"/>
  <c r="AL15" i="28"/>
  <c r="AK10" i="28"/>
  <c r="AK17" i="28"/>
  <c r="AJ10" i="28"/>
  <c r="AJ15" i="28"/>
  <c r="AI10" i="28"/>
  <c r="AH10" i="28"/>
  <c r="AH17" i="28"/>
  <c r="AG10" i="28"/>
  <c r="AG15" i="28"/>
  <c r="AF10" i="28"/>
  <c r="AF16" i="28"/>
  <c r="AE10" i="28"/>
  <c r="AD10" i="28"/>
  <c r="AD15" i="28"/>
  <c r="AC10" i="28"/>
  <c r="AC15" i="28"/>
  <c r="AB10" i="28"/>
  <c r="AB17" i="28"/>
  <c r="AA10" i="28"/>
  <c r="Z10" i="28"/>
  <c r="Z15" i="28"/>
  <c r="Y10" i="28"/>
  <c r="Y17" i="28"/>
  <c r="X10" i="28"/>
  <c r="X16" i="28"/>
  <c r="W10" i="28"/>
  <c r="V10" i="28"/>
  <c r="V15" i="28"/>
  <c r="U10" i="28"/>
  <c r="U17" i="28"/>
  <c r="T10" i="28"/>
  <c r="T17" i="28"/>
  <c r="S10" i="28"/>
  <c r="R10" i="28"/>
  <c r="R17" i="28"/>
  <c r="Q10" i="28"/>
  <c r="Q15" i="28"/>
  <c r="P10" i="28"/>
  <c r="P16" i="28"/>
  <c r="O10" i="28"/>
  <c r="N10" i="28"/>
  <c r="N15" i="28"/>
  <c r="M10" i="28"/>
  <c r="M15" i="28"/>
  <c r="L10" i="28"/>
  <c r="L15" i="28"/>
  <c r="K10" i="28"/>
  <c r="J10" i="28"/>
  <c r="J16" i="28"/>
  <c r="I10" i="28"/>
  <c r="I17" i="28"/>
  <c r="H10" i="28"/>
  <c r="H16" i="28"/>
  <c r="G10" i="28"/>
  <c r="F10" i="28"/>
  <c r="F15" i="28"/>
  <c r="AR10" i="35"/>
  <c r="AR15" i="35"/>
  <c r="AQ10" i="35"/>
  <c r="AQ17" i="35"/>
  <c r="AP10" i="35"/>
  <c r="AO10" i="35"/>
  <c r="AO16" i="35"/>
  <c r="AN10" i="35"/>
  <c r="AN17" i="35"/>
  <c r="AM10" i="35"/>
  <c r="AL10" i="35"/>
  <c r="AL16" i="35"/>
  <c r="AK10" i="35"/>
  <c r="AJ10" i="35"/>
  <c r="AJ15" i="35"/>
  <c r="AI10" i="35"/>
  <c r="AI16" i="35"/>
  <c r="AH10" i="35"/>
  <c r="AG10" i="35"/>
  <c r="AG16" i="35"/>
  <c r="AF10" i="35"/>
  <c r="AF17" i="35"/>
  <c r="AE10" i="35"/>
  <c r="AD10" i="35"/>
  <c r="AD16" i="35"/>
  <c r="AC10" i="35"/>
  <c r="AB10" i="35"/>
  <c r="AB15" i="35"/>
  <c r="AA10" i="35"/>
  <c r="AA15" i="35"/>
  <c r="Z10" i="35"/>
  <c r="Y10" i="35"/>
  <c r="Y16" i="35"/>
  <c r="X10" i="35"/>
  <c r="X15" i="35"/>
  <c r="W10" i="35"/>
  <c r="V10" i="35"/>
  <c r="V16" i="35"/>
  <c r="U10" i="35"/>
  <c r="T10" i="35"/>
  <c r="T15" i="35"/>
  <c r="S10" i="35"/>
  <c r="S17" i="35"/>
  <c r="R10" i="35"/>
  <c r="Q10" i="35"/>
  <c r="Q16" i="35"/>
  <c r="P10" i="35"/>
  <c r="P17" i="35"/>
  <c r="O10" i="35"/>
  <c r="N10" i="35"/>
  <c r="N16" i="35"/>
  <c r="M10" i="35"/>
  <c r="L10" i="35"/>
  <c r="L15" i="35"/>
  <c r="K10" i="35"/>
  <c r="K16" i="35"/>
  <c r="J10" i="35"/>
  <c r="I10" i="35"/>
  <c r="I16" i="35"/>
  <c r="H10" i="35"/>
  <c r="H17" i="35"/>
  <c r="G10" i="35"/>
  <c r="F10" i="35"/>
  <c r="F16" i="35"/>
  <c r="AR10" i="29"/>
  <c r="AQ10" i="29"/>
  <c r="AQ17" i="29"/>
  <c r="AP10" i="29"/>
  <c r="AP17" i="29"/>
  <c r="AO10" i="29"/>
  <c r="AO15" i="29"/>
  <c r="AN10" i="29"/>
  <c r="AN16" i="29"/>
  <c r="AM10" i="29"/>
  <c r="AM15" i="29"/>
  <c r="AL10" i="29"/>
  <c r="AK10" i="29"/>
  <c r="AK17" i="29"/>
  <c r="AJ10" i="29"/>
  <c r="AI10" i="29"/>
  <c r="AI16" i="29"/>
  <c r="AH10" i="29"/>
  <c r="AH17" i="29"/>
  <c r="AG10" i="29"/>
  <c r="AG15" i="29"/>
  <c r="AF10" i="29"/>
  <c r="AF16" i="29"/>
  <c r="AE10" i="29"/>
  <c r="AE15" i="29"/>
  <c r="AD10" i="29"/>
  <c r="AC10" i="29"/>
  <c r="AC17" i="29"/>
  <c r="AB10" i="29"/>
  <c r="AA10" i="29"/>
  <c r="AA15" i="29"/>
  <c r="Z10" i="29"/>
  <c r="Z17" i="29"/>
  <c r="Y10" i="29"/>
  <c r="Y15" i="29"/>
  <c r="X10" i="29"/>
  <c r="X16" i="29"/>
  <c r="W10" i="29"/>
  <c r="W15" i="29"/>
  <c r="V10" i="29"/>
  <c r="U10" i="29"/>
  <c r="U17" i="29"/>
  <c r="T10" i="29"/>
  <c r="S10" i="29"/>
  <c r="S16" i="29"/>
  <c r="R10" i="29"/>
  <c r="R15" i="29"/>
  <c r="Q10" i="29"/>
  <c r="Q15" i="29"/>
  <c r="P10" i="29"/>
  <c r="P16" i="29"/>
  <c r="O10" i="29"/>
  <c r="O17" i="29"/>
  <c r="N10" i="29"/>
  <c r="M10" i="29"/>
  <c r="M17" i="29"/>
  <c r="L10" i="29"/>
  <c r="K10" i="29"/>
  <c r="K15" i="29"/>
  <c r="J10" i="29"/>
  <c r="J17" i="29"/>
  <c r="I10" i="29"/>
  <c r="I15" i="29"/>
  <c r="H10" i="29"/>
  <c r="H16" i="29"/>
  <c r="G10" i="29"/>
  <c r="G15" i="29"/>
  <c r="F10" i="29"/>
  <c r="AR10" i="26"/>
  <c r="AR16" i="26"/>
  <c r="AQ10" i="26"/>
  <c r="AP10" i="26"/>
  <c r="AP15" i="26"/>
  <c r="AO10" i="26"/>
  <c r="AO17" i="26"/>
  <c r="AN10" i="26"/>
  <c r="AM10" i="26"/>
  <c r="AM17" i="26"/>
  <c r="AL10" i="26"/>
  <c r="AL15" i="26"/>
  <c r="AK10" i="26"/>
  <c r="AJ10" i="26"/>
  <c r="AJ17" i="26"/>
  <c r="AI10" i="26"/>
  <c r="AH10" i="26"/>
  <c r="AH15" i="26"/>
  <c r="AG10" i="26"/>
  <c r="AG16" i="26"/>
  <c r="AF10" i="26"/>
  <c r="AE10" i="26"/>
  <c r="AE15" i="26"/>
  <c r="AD10" i="26"/>
  <c r="AD15" i="26"/>
  <c r="AC10" i="26"/>
  <c r="AB10" i="26"/>
  <c r="AB17" i="26"/>
  <c r="AA10" i="26"/>
  <c r="Z10" i="26"/>
  <c r="Z15" i="26"/>
  <c r="Y10" i="26"/>
  <c r="Y16" i="26"/>
  <c r="X10" i="26"/>
  <c r="W10" i="26"/>
  <c r="W17" i="26"/>
  <c r="V10" i="26"/>
  <c r="V15" i="26"/>
  <c r="U10" i="26"/>
  <c r="T10" i="26"/>
  <c r="S10" i="26"/>
  <c r="R10" i="26"/>
  <c r="R15" i="26"/>
  <c r="Q10" i="26"/>
  <c r="Q16" i="26"/>
  <c r="P10" i="26"/>
  <c r="O10" i="26"/>
  <c r="O16" i="26"/>
  <c r="N10" i="26"/>
  <c r="N15" i="26"/>
  <c r="M10" i="26"/>
  <c r="L10" i="26"/>
  <c r="L15" i="26"/>
  <c r="K10" i="26"/>
  <c r="J10" i="26"/>
  <c r="J15" i="26"/>
  <c r="I10" i="26"/>
  <c r="I15" i="26"/>
  <c r="H10" i="26"/>
  <c r="G10" i="26"/>
  <c r="G16" i="26"/>
  <c r="F10" i="26"/>
  <c r="F15" i="26"/>
  <c r="AR10" i="24"/>
  <c r="AR15" i="24"/>
  <c r="AQ10" i="24"/>
  <c r="AQ17" i="24"/>
  <c r="AP10" i="24"/>
  <c r="AO10" i="24"/>
  <c r="AO17" i="24"/>
  <c r="AN10" i="24"/>
  <c r="AN16" i="24"/>
  <c r="AM10" i="24"/>
  <c r="AL10" i="24"/>
  <c r="AL16" i="24"/>
  <c r="AK10" i="24"/>
  <c r="AK17" i="24"/>
  <c r="AJ10" i="24"/>
  <c r="AJ15" i="24"/>
  <c r="AI10" i="24"/>
  <c r="AI17" i="24"/>
  <c r="AH10" i="24"/>
  <c r="AG10" i="24"/>
  <c r="AG15" i="24"/>
  <c r="AF10" i="24"/>
  <c r="AF16" i="24"/>
  <c r="AE10" i="24"/>
  <c r="AD10" i="24"/>
  <c r="AD16" i="24"/>
  <c r="AC10" i="24"/>
  <c r="AC17" i="24"/>
  <c r="AB10" i="24"/>
  <c r="AB15" i="24"/>
  <c r="AA10" i="24"/>
  <c r="AA17" i="24"/>
  <c r="Z10" i="24"/>
  <c r="Y10" i="24"/>
  <c r="Y16" i="24"/>
  <c r="X10" i="24"/>
  <c r="X16" i="24"/>
  <c r="W10" i="24"/>
  <c r="V10" i="24"/>
  <c r="V16" i="24"/>
  <c r="U10" i="24"/>
  <c r="U17" i="24"/>
  <c r="T10" i="24"/>
  <c r="T15" i="24"/>
  <c r="S10" i="24"/>
  <c r="S17" i="24"/>
  <c r="R10" i="24"/>
  <c r="Q10" i="24"/>
  <c r="Q15" i="24"/>
  <c r="P10" i="24"/>
  <c r="P16" i="24"/>
  <c r="O10" i="24"/>
  <c r="N10" i="24"/>
  <c r="N16" i="24"/>
  <c r="M10" i="24"/>
  <c r="M17" i="24"/>
  <c r="L10" i="24"/>
  <c r="L15" i="24"/>
  <c r="K10" i="24"/>
  <c r="K17" i="24"/>
  <c r="J10" i="24"/>
  <c r="I10" i="24"/>
  <c r="I16" i="24"/>
  <c r="H10" i="24"/>
  <c r="H17" i="24"/>
  <c r="G10" i="24"/>
  <c r="F10" i="24"/>
  <c r="F17" i="24"/>
  <c r="L16" i="24"/>
  <c r="AR17" i="24"/>
  <c r="AP17" i="24"/>
  <c r="AM17" i="24"/>
  <c r="AH17" i="24"/>
  <c r="AE17" i="24"/>
  <c r="AB17" i="24"/>
  <c r="Z17" i="24"/>
  <c r="W17" i="24"/>
  <c r="T17" i="24"/>
  <c r="R17" i="24"/>
  <c r="O17" i="24"/>
  <c r="L17" i="24"/>
  <c r="J17" i="24"/>
  <c r="G17" i="24"/>
  <c r="AR16" i="24"/>
  <c r="AQ16" i="24"/>
  <c r="AP16" i="24"/>
  <c r="AM16" i="24"/>
  <c r="AJ16" i="24"/>
  <c r="AI16" i="24"/>
  <c r="AH16" i="24"/>
  <c r="AG16" i="24"/>
  <c r="AE16" i="24"/>
  <c r="AB16" i="24"/>
  <c r="AA16" i="24"/>
  <c r="Z16" i="24"/>
  <c r="W16" i="24"/>
  <c r="T16" i="24"/>
  <c r="S16" i="24"/>
  <c r="R16" i="24"/>
  <c r="O16" i="24"/>
  <c r="J16" i="24"/>
  <c r="G16" i="24"/>
  <c r="AQ15" i="24"/>
  <c r="AP15" i="24"/>
  <c r="AM15" i="24"/>
  <c r="AI15" i="24"/>
  <c r="AH15" i="24"/>
  <c r="AE15" i="24"/>
  <c r="Z15" i="24"/>
  <c r="W15" i="24"/>
  <c r="S15" i="24"/>
  <c r="R15" i="24"/>
  <c r="O15" i="24"/>
  <c r="K15" i="24"/>
  <c r="J15" i="24"/>
  <c r="G15" i="24"/>
  <c r="AR17" i="26"/>
  <c r="AQ17" i="26"/>
  <c r="AN17" i="26"/>
  <c r="AK17" i="26"/>
  <c r="AI17" i="26"/>
  <c r="AF17" i="26"/>
  <c r="AC17" i="26"/>
  <c r="AA17" i="26"/>
  <c r="X17" i="26"/>
  <c r="U17" i="26"/>
  <c r="T17" i="26"/>
  <c r="S17" i="26"/>
  <c r="R17" i="26"/>
  <c r="P17" i="26"/>
  <c r="M17" i="26"/>
  <c r="L17" i="26"/>
  <c r="K17" i="26"/>
  <c r="J17" i="26"/>
  <c r="H17" i="26"/>
  <c r="AQ16" i="26"/>
  <c r="AN16" i="26"/>
  <c r="AK16" i="26"/>
  <c r="AJ16" i="26"/>
  <c r="AI16" i="26"/>
  <c r="AF16" i="26"/>
  <c r="AC16" i="26"/>
  <c r="AB16" i="26"/>
  <c r="AA16" i="26"/>
  <c r="X16" i="26"/>
  <c r="U16" i="26"/>
  <c r="T16" i="26"/>
  <c r="S16" i="26"/>
  <c r="R16" i="26"/>
  <c r="P16" i="26"/>
  <c r="M16" i="26"/>
  <c r="L16" i="26"/>
  <c r="K16" i="26"/>
  <c r="J16" i="26"/>
  <c r="H16" i="26"/>
  <c r="AQ15" i="26"/>
  <c r="AN15" i="26"/>
  <c r="AK15" i="26"/>
  <c r="AJ15" i="26"/>
  <c r="AI15" i="26"/>
  <c r="AF15" i="26"/>
  <c r="AC15" i="26"/>
  <c r="AA15" i="26"/>
  <c r="X15" i="26"/>
  <c r="W15" i="26"/>
  <c r="U15" i="26"/>
  <c r="T15" i="26"/>
  <c r="S15" i="26"/>
  <c r="P15" i="26"/>
  <c r="M15" i="26"/>
  <c r="K15" i="26"/>
  <c r="H15" i="26"/>
  <c r="AR17" i="29"/>
  <c r="AL17" i="29"/>
  <c r="AJ17" i="29"/>
  <c r="AI17" i="29"/>
  <c r="AG17" i="29"/>
  <c r="AD17" i="29"/>
  <c r="AB17" i="29"/>
  <c r="AA17" i="29"/>
  <c r="Y17" i="29"/>
  <c r="V17" i="29"/>
  <c r="T17" i="29"/>
  <c r="S17" i="29"/>
  <c r="Q17" i="29"/>
  <c r="N17" i="29"/>
  <c r="L17" i="29"/>
  <c r="K17" i="29"/>
  <c r="I17" i="29"/>
  <c r="F17" i="29"/>
  <c r="AR16" i="29"/>
  <c r="AQ16" i="29"/>
  <c r="AP16" i="29"/>
  <c r="AO16" i="29"/>
  <c r="AL16" i="29"/>
  <c r="AK16" i="29"/>
  <c r="AJ16" i="29"/>
  <c r="AG16" i="29"/>
  <c r="AD16" i="29"/>
  <c r="AC16" i="29"/>
  <c r="AB16" i="29"/>
  <c r="AA16" i="29"/>
  <c r="Y16" i="29"/>
  <c r="V16" i="29"/>
  <c r="U16" i="29"/>
  <c r="T16" i="29"/>
  <c r="Q16" i="29"/>
  <c r="N16" i="29"/>
  <c r="M16" i="29"/>
  <c r="L16" i="29"/>
  <c r="K16" i="29"/>
  <c r="J16" i="29"/>
  <c r="I16" i="29"/>
  <c r="F16" i="29"/>
  <c r="AR15" i="29"/>
  <c r="AL15" i="29"/>
  <c r="AJ15" i="29"/>
  <c r="AI15" i="29"/>
  <c r="AD15" i="29"/>
  <c r="AB15" i="29"/>
  <c r="V15" i="29"/>
  <c r="T15" i="29"/>
  <c r="S15" i="29"/>
  <c r="N15" i="29"/>
  <c r="L15" i="29"/>
  <c r="F15" i="29"/>
  <c r="AP17" i="35"/>
  <c r="AM17" i="35"/>
  <c r="AK17" i="35"/>
  <c r="AI17" i="35"/>
  <c r="AH17" i="35"/>
  <c r="AE17" i="35"/>
  <c r="AC17" i="35"/>
  <c r="Z17" i="35"/>
  <c r="W17" i="35"/>
  <c r="U17" i="35"/>
  <c r="R17" i="35"/>
  <c r="O17" i="35"/>
  <c r="M17" i="35"/>
  <c r="J17" i="35"/>
  <c r="G17" i="35"/>
  <c r="AP16" i="35"/>
  <c r="AM16" i="35"/>
  <c r="AK16" i="35"/>
  <c r="AH16" i="35"/>
  <c r="AE16" i="35"/>
  <c r="AC16" i="35"/>
  <c r="Z16" i="35"/>
  <c r="W16" i="35"/>
  <c r="U16" i="35"/>
  <c r="T16" i="35"/>
  <c r="R16" i="35"/>
  <c r="O16" i="35"/>
  <c r="M16" i="35"/>
  <c r="L16" i="35"/>
  <c r="J16" i="35"/>
  <c r="G16" i="35"/>
  <c r="AP15" i="35"/>
  <c r="AM15" i="35"/>
  <c r="AL15" i="35"/>
  <c r="AK15" i="35"/>
  <c r="AH15" i="35"/>
  <c r="AE15" i="35"/>
  <c r="AD15" i="35"/>
  <c r="AC15" i="35"/>
  <c r="Z15" i="35"/>
  <c r="Y15" i="35"/>
  <c r="W15" i="35"/>
  <c r="V15" i="35"/>
  <c r="U15" i="35"/>
  <c r="R15" i="35"/>
  <c r="O15" i="35"/>
  <c r="N15" i="35"/>
  <c r="M15" i="35"/>
  <c r="J15" i="35"/>
  <c r="G15" i="35"/>
  <c r="F15" i="35"/>
  <c r="AQ17" i="28"/>
  <c r="AM17" i="28"/>
  <c r="AI17" i="28"/>
  <c r="AE17" i="28"/>
  <c r="AA17" i="28"/>
  <c r="W17" i="28"/>
  <c r="S17" i="28"/>
  <c r="O17" i="28"/>
  <c r="K17" i="28"/>
  <c r="J17" i="28"/>
  <c r="G17" i="28"/>
  <c r="AQ16" i="28"/>
  <c r="AM16" i="28"/>
  <c r="AI16" i="28"/>
  <c r="AE16" i="28"/>
  <c r="AA16" i="28"/>
  <c r="W16" i="28"/>
  <c r="S16" i="28"/>
  <c r="O16" i="28"/>
  <c r="K16" i="28"/>
  <c r="G16" i="28"/>
  <c r="AQ15" i="28"/>
  <c r="AN15" i="28"/>
  <c r="AM15" i="28"/>
  <c r="AI15" i="28"/>
  <c r="AF15" i="28"/>
  <c r="AE15" i="28"/>
  <c r="AB15" i="28"/>
  <c r="AA15" i="28"/>
  <c r="X15" i="28"/>
  <c r="W15" i="28"/>
  <c r="S15" i="28"/>
  <c r="P15" i="28"/>
  <c r="O15" i="28"/>
  <c r="K15" i="28"/>
  <c r="H15" i="28"/>
  <c r="G15" i="28"/>
  <c r="AR17" i="41"/>
  <c r="AO17" i="41"/>
  <c r="AN17" i="41"/>
  <c r="AM17" i="41"/>
  <c r="AJ17" i="41"/>
  <c r="AG17" i="41"/>
  <c r="AF17" i="41"/>
  <c r="AE17" i="41"/>
  <c r="AD17" i="41"/>
  <c r="AB17" i="41"/>
  <c r="Y17" i="41"/>
  <c r="X17" i="41"/>
  <c r="W17" i="41"/>
  <c r="V17" i="41"/>
  <c r="T17" i="41"/>
  <c r="Q17" i="41"/>
  <c r="P17" i="41"/>
  <c r="O17" i="41"/>
  <c r="N17" i="41"/>
  <c r="L17" i="41"/>
  <c r="I17" i="41"/>
  <c r="H17" i="41"/>
  <c r="G17" i="41"/>
  <c r="AR16" i="41"/>
  <c r="AO16" i="41"/>
  <c r="AN16" i="41"/>
  <c r="AM16" i="41"/>
  <c r="AL16" i="41"/>
  <c r="AJ16" i="41"/>
  <c r="AG16" i="41"/>
  <c r="AF16" i="41"/>
  <c r="AE16" i="41"/>
  <c r="AB16" i="41"/>
  <c r="Y16" i="41"/>
  <c r="X16" i="41"/>
  <c r="W16" i="41"/>
  <c r="T16" i="41"/>
  <c r="Q16" i="41"/>
  <c r="P16" i="41"/>
  <c r="O16" i="41"/>
  <c r="L16" i="41"/>
  <c r="I16" i="41"/>
  <c r="H16" i="41"/>
  <c r="G16" i="41"/>
  <c r="F16" i="41"/>
  <c r="AR15" i="41"/>
  <c r="AO15" i="41"/>
  <c r="AN15" i="41"/>
  <c r="AM15" i="41"/>
  <c r="AL15" i="41"/>
  <c r="AJ15" i="41"/>
  <c r="AI15" i="41"/>
  <c r="AG15" i="41"/>
  <c r="AF15" i="41"/>
  <c r="AE15" i="41"/>
  <c r="AB15" i="41"/>
  <c r="Y15" i="41"/>
  <c r="X15" i="41"/>
  <c r="W15" i="41"/>
  <c r="V15" i="41"/>
  <c r="T15" i="41"/>
  <c r="Q15" i="41"/>
  <c r="P15" i="41"/>
  <c r="O15" i="41"/>
  <c r="N15" i="41"/>
  <c r="L15" i="41"/>
  <c r="I15" i="41"/>
  <c r="H15" i="41"/>
  <c r="G15" i="41"/>
  <c r="F15" i="41"/>
  <c r="AO17" i="33"/>
  <c r="AN17" i="33"/>
  <c r="AM17" i="33"/>
  <c r="AH17" i="33"/>
  <c r="AG17" i="33"/>
  <c r="AF17" i="33"/>
  <c r="AE17" i="33"/>
  <c r="AB17" i="33"/>
  <c r="Z17" i="33"/>
  <c r="Y17" i="33"/>
  <c r="X17" i="33"/>
  <c r="W17" i="33"/>
  <c r="R17" i="33"/>
  <c r="Q17" i="33"/>
  <c r="P17" i="33"/>
  <c r="O17" i="33"/>
  <c r="J17" i="33"/>
  <c r="I17" i="33"/>
  <c r="H17" i="33"/>
  <c r="G17" i="33"/>
  <c r="AP16" i="33"/>
  <c r="AO16" i="33"/>
  <c r="AN16" i="33"/>
  <c r="AH16" i="33"/>
  <c r="AG16" i="33"/>
  <c r="AF16" i="33"/>
  <c r="AE16" i="33"/>
  <c r="AD16" i="33"/>
  <c r="Z16" i="33"/>
  <c r="Y16" i="33"/>
  <c r="X16" i="33"/>
  <c r="R16" i="33"/>
  <c r="Q16" i="33"/>
  <c r="P16" i="33"/>
  <c r="J16" i="33"/>
  <c r="I16" i="33"/>
  <c r="H16" i="33"/>
  <c r="AP15" i="33"/>
  <c r="AO15" i="33"/>
  <c r="AN15" i="33"/>
  <c r="AM15" i="33"/>
  <c r="AH15" i="33"/>
  <c r="AG15" i="33"/>
  <c r="AF15" i="33"/>
  <c r="AE15" i="33"/>
  <c r="AB15" i="33"/>
  <c r="Z15" i="33"/>
  <c r="Y15" i="33"/>
  <c r="X15" i="33"/>
  <c r="R15" i="33"/>
  <c r="Q15" i="33"/>
  <c r="P15" i="33"/>
  <c r="O15" i="33"/>
  <c r="J15" i="33"/>
  <c r="I15" i="33"/>
  <c r="H15" i="33"/>
  <c r="G15" i="33"/>
  <c r="AQ17" i="22"/>
  <c r="AO17" i="22"/>
  <c r="AI17" i="22"/>
  <c r="AG17" i="22"/>
  <c r="AF17" i="22"/>
  <c r="AA17" i="22"/>
  <c r="Y17" i="22"/>
  <c r="S17" i="22"/>
  <c r="Q17" i="22"/>
  <c r="P17" i="22"/>
  <c r="K17" i="22"/>
  <c r="J17" i="22"/>
  <c r="I17" i="22"/>
  <c r="H17" i="22"/>
  <c r="F17" i="22"/>
  <c r="AQ16" i="22"/>
  <c r="AP16" i="22"/>
  <c r="AO16" i="22"/>
  <c r="AN16" i="22"/>
  <c r="AL16" i="22"/>
  <c r="AI16" i="22"/>
  <c r="AH16" i="22"/>
  <c r="AG16" i="22"/>
  <c r="AD16" i="22"/>
  <c r="AA16" i="22"/>
  <c r="Z16" i="22"/>
  <c r="Y16" i="22"/>
  <c r="X16" i="22"/>
  <c r="W16" i="22"/>
  <c r="V16" i="22"/>
  <c r="S16" i="22"/>
  <c r="R16" i="22"/>
  <c r="Q16" i="22"/>
  <c r="P16" i="22"/>
  <c r="N16" i="22"/>
  <c r="K16" i="22"/>
  <c r="J16" i="22"/>
  <c r="I16" i="22"/>
  <c r="H16" i="22"/>
  <c r="AQ15" i="22"/>
  <c r="AP15" i="22"/>
  <c r="AO15" i="22"/>
  <c r="AN15" i="22"/>
  <c r="AI15" i="22"/>
  <c r="AH15" i="22"/>
  <c r="AG15" i="22"/>
  <c r="AA15" i="22"/>
  <c r="Z15" i="22"/>
  <c r="Y15" i="22"/>
  <c r="X15" i="22"/>
  <c r="S15" i="22"/>
  <c r="R15" i="22"/>
  <c r="Q15" i="22"/>
  <c r="P15" i="22"/>
  <c r="K15" i="22"/>
  <c r="J15" i="22"/>
  <c r="I15" i="22"/>
  <c r="H15" i="22"/>
  <c r="AR10" i="23"/>
  <c r="AQ10" i="23"/>
  <c r="AP10" i="23"/>
  <c r="AO10" i="23"/>
  <c r="AN10" i="23"/>
  <c r="AM10" i="23"/>
  <c r="AL10" i="23"/>
  <c r="AK10" i="23"/>
  <c r="AJ10" i="23"/>
  <c r="AI10" i="23"/>
  <c r="AH10" i="23"/>
  <c r="AG10" i="23"/>
  <c r="AF10" i="23"/>
  <c r="AE10" i="23"/>
  <c r="AD10" i="23"/>
  <c r="AC10" i="23"/>
  <c r="AB10" i="23"/>
  <c r="AA10" i="23"/>
  <c r="Z10" i="23"/>
  <c r="Y10" i="23"/>
  <c r="X10" i="23"/>
  <c r="W10" i="23"/>
  <c r="V10" i="23"/>
  <c r="U10" i="23"/>
  <c r="T10" i="23"/>
  <c r="S10" i="23"/>
  <c r="R10" i="23"/>
  <c r="Q10" i="23"/>
  <c r="P10" i="23"/>
  <c r="O10" i="23"/>
  <c r="N10" i="23"/>
  <c r="M10" i="23"/>
  <c r="L10" i="23"/>
  <c r="J10" i="23"/>
  <c r="I10" i="23"/>
  <c r="H10" i="23"/>
  <c r="G10" i="23"/>
  <c r="F10" i="23"/>
  <c r="K10" i="23"/>
  <c r="X9" i="20"/>
  <c r="AF53" i="20"/>
  <c r="B122" i="20"/>
  <c r="B123" i="20"/>
  <c r="L104" i="20"/>
  <c r="C120" i="20"/>
  <c r="E158" i="1"/>
  <c r="D33" i="41"/>
  <c r="B157" i="1"/>
  <c r="E94" i="1"/>
  <c r="E154" i="1"/>
  <c r="D72" i="23"/>
  <c r="B155" i="1"/>
  <c r="D76" i="23"/>
  <c r="D75" i="23"/>
  <c r="D74" i="23"/>
  <c r="B76" i="23"/>
  <c r="B75" i="23"/>
  <c r="B74" i="23"/>
  <c r="B43" i="41"/>
  <c r="B42" i="41"/>
  <c r="B31" i="41"/>
  <c r="B30" i="41"/>
  <c r="D25" i="41"/>
  <c r="D17" i="41"/>
  <c r="B17" i="41"/>
  <c r="D16" i="41"/>
  <c r="B16" i="41"/>
  <c r="D15" i="41"/>
  <c r="F8" i="41"/>
  <c r="G8" i="41"/>
  <c r="H8" i="41"/>
  <c r="I8" i="41"/>
  <c r="J8" i="41"/>
  <c r="K8" i="41"/>
  <c r="L8" i="41"/>
  <c r="M8" i="41"/>
  <c r="N8" i="41"/>
  <c r="O8" i="41"/>
  <c r="P8" i="41"/>
  <c r="Q8" i="41"/>
  <c r="R8" i="41"/>
  <c r="S8" i="41"/>
  <c r="T8" i="41"/>
  <c r="U8" i="41"/>
  <c r="V8" i="41"/>
  <c r="W8" i="41"/>
  <c r="X8" i="41"/>
  <c r="Y8" i="41"/>
  <c r="Z8" i="41"/>
  <c r="AA8" i="41"/>
  <c r="AB8" i="41"/>
  <c r="AC8" i="41"/>
  <c r="AD8" i="41"/>
  <c r="AE8" i="41"/>
  <c r="AF8" i="41"/>
  <c r="AG8" i="41"/>
  <c r="AH8" i="41"/>
  <c r="AI8" i="41"/>
  <c r="AJ8" i="41"/>
  <c r="AK8" i="41"/>
  <c r="AL8" i="41"/>
  <c r="AM8" i="41"/>
  <c r="AN8" i="41"/>
  <c r="AO8" i="41"/>
  <c r="AP8" i="41"/>
  <c r="AQ8" i="41"/>
  <c r="AR8" i="41"/>
  <c r="F7" i="41"/>
  <c r="F9" i="41"/>
  <c r="A4" i="41"/>
  <c r="A1" i="41"/>
  <c r="E142" i="1"/>
  <c r="D42" i="23"/>
  <c r="E58" i="1"/>
  <c r="D36" i="23"/>
  <c r="E56" i="1"/>
  <c r="D34" i="23"/>
  <c r="L56" i="20"/>
  <c r="E57" i="1"/>
  <c r="D35" i="23"/>
  <c r="AB7" i="20"/>
  <c r="AB6" i="20"/>
  <c r="AB5" i="20"/>
  <c r="Z7" i="20"/>
  <c r="Y7" i="20"/>
  <c r="Z6" i="20"/>
  <c r="Y6" i="20"/>
  <c r="Z5" i="20"/>
  <c r="Y5" i="20"/>
  <c r="W7" i="20"/>
  <c r="W6" i="20"/>
  <c r="W5" i="20"/>
  <c r="D71" i="20"/>
  <c r="W4" i="20"/>
  <c r="E163" i="1"/>
  <c r="E162" i="1"/>
  <c r="D31" i="41"/>
  <c r="L104" i="18"/>
  <c r="Z52" i="20"/>
  <c r="E123" i="1"/>
  <c r="Z53" i="20"/>
  <c r="Z51" i="20"/>
  <c r="E118" i="1"/>
  <c r="AE51" i="20"/>
  <c r="E110" i="1"/>
  <c r="AF51" i="20"/>
  <c r="E120" i="1"/>
  <c r="Y51" i="20"/>
  <c r="E108" i="1"/>
  <c r="AE52" i="20"/>
  <c r="E115" i="1"/>
  <c r="Y52" i="20"/>
  <c r="E113" i="1"/>
  <c r="AF52" i="20"/>
  <c r="E125" i="1"/>
  <c r="Y53" i="20"/>
  <c r="AE53" i="20"/>
  <c r="AL16" i="33"/>
  <c r="AJ15" i="22"/>
  <c r="AE16" i="22"/>
  <c r="N16" i="33"/>
  <c r="AB16" i="28"/>
  <c r="AQ15" i="35"/>
  <c r="AJ16" i="35"/>
  <c r="R16" i="29"/>
  <c r="AH17" i="26"/>
  <c r="I15" i="24"/>
  <c r="AN15" i="24"/>
  <c r="AO16" i="24"/>
  <c r="AJ17" i="28"/>
  <c r="K17" i="35"/>
  <c r="J15" i="29"/>
  <c r="H15" i="24"/>
  <c r="O15" i="22"/>
  <c r="AM15" i="22"/>
  <c r="AF16" i="22"/>
  <c r="O17" i="22"/>
  <c r="AE17" i="22"/>
  <c r="F15" i="33"/>
  <c r="AD15" i="33"/>
  <c r="N17" i="33"/>
  <c r="AL17" i="33"/>
  <c r="S15" i="35"/>
  <c r="AH15" i="29"/>
  <c r="AH16" i="26"/>
  <c r="I17" i="26"/>
  <c r="Y15" i="24"/>
  <c r="AO15" i="24"/>
  <c r="Q16" i="24"/>
  <c r="Q17" i="24"/>
  <c r="AG17" i="24"/>
  <c r="L16" i="28"/>
  <c r="AJ16" i="28"/>
  <c r="AI15" i="35"/>
  <c r="AA16" i="35"/>
  <c r="G15" i="22"/>
  <c r="G17" i="22"/>
  <c r="W15" i="33"/>
  <c r="F17" i="33"/>
  <c r="AD15" i="41"/>
  <c r="AB16" i="35"/>
  <c r="AR16" i="35"/>
  <c r="AH16" i="29"/>
  <c r="Z16" i="26"/>
  <c r="Z17" i="26"/>
  <c r="P15" i="24"/>
  <c r="H16" i="24"/>
  <c r="I17" i="24"/>
  <c r="Y17" i="24"/>
  <c r="V15" i="33"/>
  <c r="W17" i="22"/>
  <c r="AM17" i="22"/>
  <c r="V16" i="33"/>
  <c r="AP15" i="29"/>
  <c r="AA17" i="35"/>
  <c r="AQ15" i="29"/>
  <c r="Z16" i="29"/>
  <c r="AP16" i="26"/>
  <c r="L16" i="33"/>
  <c r="Z15" i="41"/>
  <c r="Q15" i="35"/>
  <c r="AN15" i="29"/>
  <c r="Y15" i="26"/>
  <c r="AG17" i="26"/>
  <c r="V17" i="24"/>
  <c r="AJ17" i="24"/>
  <c r="P16" i="35"/>
  <c r="AQ15" i="33"/>
  <c r="AA15" i="41"/>
  <c r="AI16" i="41"/>
  <c r="R15" i="28"/>
  <c r="H15" i="29"/>
  <c r="AR15" i="33"/>
  <c r="L17" i="33"/>
  <c r="AM17" i="29"/>
  <c r="AB15" i="26"/>
  <c r="Y17" i="26"/>
  <c r="AL15" i="24"/>
  <c r="P15" i="35"/>
  <c r="S17" i="41"/>
  <c r="Y16" i="28"/>
  <c r="AP16" i="28"/>
  <c r="AN17" i="29"/>
  <c r="AR15" i="26"/>
  <c r="O17" i="26"/>
  <c r="AJ17" i="33"/>
  <c r="J17" i="41"/>
  <c r="Z16" i="28"/>
  <c r="G17" i="26"/>
  <c r="AA17" i="33"/>
  <c r="K15" i="41"/>
  <c r="K17" i="41"/>
  <c r="AG15" i="26"/>
  <c r="AA15" i="24"/>
  <c r="K16" i="24"/>
  <c r="AJ17" i="22"/>
  <c r="I15" i="28"/>
  <c r="AO15" i="28"/>
  <c r="AB15" i="22"/>
  <c r="L17" i="22"/>
  <c r="AA15" i="33"/>
  <c r="AJ15" i="33"/>
  <c r="K17" i="33"/>
  <c r="T17" i="33"/>
  <c r="J15" i="41"/>
  <c r="S15" i="41"/>
  <c r="AH16" i="41"/>
  <c r="AQ16" i="41"/>
  <c r="J15" i="28"/>
  <c r="T15" i="28"/>
  <c r="AP15" i="28"/>
  <c r="AO16" i="28"/>
  <c r="L17" i="28"/>
  <c r="Z17" i="28"/>
  <c r="I15" i="35"/>
  <c r="H16" i="35"/>
  <c r="S16" i="35"/>
  <c r="AN16" i="35"/>
  <c r="AF15" i="29"/>
  <c r="W17" i="29"/>
  <c r="AF17" i="29"/>
  <c r="F16" i="26"/>
  <c r="N16" i="26"/>
  <c r="V16" i="26"/>
  <c r="AD16" i="26"/>
  <c r="AL16" i="26"/>
  <c r="Q17" i="26"/>
  <c r="AL17" i="24"/>
  <c r="X17" i="35"/>
  <c r="AR16" i="22"/>
  <c r="AQ16" i="33"/>
  <c r="O15" i="26"/>
  <c r="W16" i="26"/>
  <c r="AE16" i="26"/>
  <c r="AM16" i="26"/>
  <c r="N17" i="24"/>
  <c r="AE17" i="29"/>
  <c r="T15" i="22"/>
  <c r="L16" i="22"/>
  <c r="U16" i="22"/>
  <c r="AC16" i="22"/>
  <c r="AK16" i="22"/>
  <c r="AB17" i="22"/>
  <c r="K15" i="33"/>
  <c r="T15" i="33"/>
  <c r="AI16" i="33"/>
  <c r="AR16" i="33"/>
  <c r="R16" i="41"/>
  <c r="AA16" i="41"/>
  <c r="AP17" i="41"/>
  <c r="AH15" i="28"/>
  <c r="AR15" i="28"/>
  <c r="R16" i="28"/>
  <c r="Q17" i="28"/>
  <c r="K15" i="35"/>
  <c r="AF16" i="35"/>
  <c r="AQ16" i="35"/>
  <c r="X15" i="29"/>
  <c r="G17" i="29"/>
  <c r="P17" i="29"/>
  <c r="AI15" i="33"/>
  <c r="S17" i="33"/>
  <c r="R15" i="41"/>
  <c r="AP16" i="41"/>
  <c r="H15" i="35"/>
  <c r="T16" i="22"/>
  <c r="Q16" i="28"/>
  <c r="AH17" i="41"/>
  <c r="AQ17" i="41"/>
  <c r="Y15" i="28"/>
  <c r="AG16" i="28"/>
  <c r="AR16" i="28"/>
  <c r="AN15" i="35"/>
  <c r="O15" i="29"/>
  <c r="Z15" i="29"/>
  <c r="G16" i="29"/>
  <c r="O16" i="29"/>
  <c r="W16" i="29"/>
  <c r="AE16" i="29"/>
  <c r="AM16" i="29"/>
  <c r="H17" i="29"/>
  <c r="G15" i="26"/>
  <c r="Q15" i="26"/>
  <c r="AM15" i="26"/>
  <c r="I16" i="26"/>
  <c r="AO16" i="26"/>
  <c r="V15" i="24"/>
  <c r="AF15" i="24"/>
  <c r="AD17" i="24"/>
  <c r="Z16" i="41"/>
  <c r="X17" i="29"/>
  <c r="AD15" i="24"/>
  <c r="AR15" i="22"/>
  <c r="S16" i="33"/>
  <c r="I16" i="28"/>
  <c r="T16" i="28"/>
  <c r="AH16" i="28"/>
  <c r="AG17" i="28"/>
  <c r="AF15" i="35"/>
  <c r="AO15" i="35"/>
  <c r="X16" i="35"/>
  <c r="P15" i="29"/>
  <c r="R17" i="29"/>
  <c r="AE17" i="26"/>
  <c r="AG15" i="35"/>
  <c r="AO15" i="26"/>
  <c r="N15" i="24"/>
  <c r="X15" i="24"/>
  <c r="M16" i="22"/>
  <c r="U15" i="22"/>
  <c r="AC15" i="22"/>
  <c r="AK15" i="22"/>
  <c r="F16" i="22"/>
  <c r="M17" i="22"/>
  <c r="N15" i="22"/>
  <c r="V15" i="22"/>
  <c r="AD15" i="22"/>
  <c r="AL15" i="22"/>
  <c r="M17" i="33"/>
  <c r="U17" i="33"/>
  <c r="AC17" i="33"/>
  <c r="AK17" i="33"/>
  <c r="M16" i="33"/>
  <c r="U16" i="33"/>
  <c r="AC16" i="33"/>
  <c r="AK16" i="33"/>
  <c r="M17" i="41"/>
  <c r="U17" i="41"/>
  <c r="AC17" i="41"/>
  <c r="AK17" i="41"/>
  <c r="M16" i="41"/>
  <c r="U16" i="41"/>
  <c r="AC16" i="41"/>
  <c r="AK16" i="41"/>
  <c r="M17" i="28"/>
  <c r="M16" i="28"/>
  <c r="U16" i="28"/>
  <c r="AC16" i="28"/>
  <c r="AK16" i="28"/>
  <c r="F17" i="28"/>
  <c r="N17" i="28"/>
  <c r="V17" i="28"/>
  <c r="AD17" i="28"/>
  <c r="AL17" i="28"/>
  <c r="AC17" i="28"/>
  <c r="U15" i="28"/>
  <c r="AK15" i="28"/>
  <c r="F16" i="28"/>
  <c r="N16" i="28"/>
  <c r="V16" i="28"/>
  <c r="AD16" i="28"/>
  <c r="AL16" i="28"/>
  <c r="H17" i="28"/>
  <c r="P17" i="28"/>
  <c r="X17" i="28"/>
  <c r="AF17" i="28"/>
  <c r="AN17" i="28"/>
  <c r="L17" i="35"/>
  <c r="T17" i="35"/>
  <c r="AB17" i="35"/>
  <c r="AJ17" i="35"/>
  <c r="AR17" i="35"/>
  <c r="F17" i="35"/>
  <c r="N17" i="35"/>
  <c r="V17" i="35"/>
  <c r="AD17" i="35"/>
  <c r="AL17" i="35"/>
  <c r="I17" i="35"/>
  <c r="Q17" i="35"/>
  <c r="Y17" i="35"/>
  <c r="AG17" i="35"/>
  <c r="AO17" i="35"/>
  <c r="M15" i="29"/>
  <c r="U15" i="29"/>
  <c r="AC15" i="29"/>
  <c r="AK15" i="29"/>
  <c r="AO17" i="29"/>
  <c r="AP17" i="26"/>
  <c r="F17" i="26"/>
  <c r="N17" i="26"/>
  <c r="V17" i="26"/>
  <c r="AD17" i="26"/>
  <c r="AL17" i="26"/>
  <c r="M16" i="24"/>
  <c r="U16" i="24"/>
  <c r="AC16" i="24"/>
  <c r="AK16" i="24"/>
  <c r="P17" i="24"/>
  <c r="X17" i="24"/>
  <c r="AF17" i="24"/>
  <c r="AN17" i="24"/>
  <c r="M15" i="24"/>
  <c r="U15" i="24"/>
  <c r="AC15" i="24"/>
  <c r="AK15" i="24"/>
  <c r="F16" i="24"/>
  <c r="F15" i="24"/>
  <c r="X5" i="20"/>
  <c r="AA7" i="20"/>
  <c r="X7" i="20"/>
  <c r="X6" i="20"/>
  <c r="E97" i="1"/>
  <c r="AA5" i="20"/>
  <c r="AA6" i="20"/>
  <c r="E99" i="1"/>
  <c r="C123" i="20"/>
  <c r="C124" i="20"/>
  <c r="L105" i="20"/>
  <c r="E140" i="1"/>
  <c r="G7" i="41"/>
  <c r="L7" i="18"/>
  <c r="B54" i="21"/>
  <c r="B53" i="21"/>
  <c r="B32" i="21"/>
  <c r="B31" i="21"/>
  <c r="B46" i="22"/>
  <c r="B45" i="22"/>
  <c r="B40" i="22"/>
  <c r="B39" i="22"/>
  <c r="B28" i="22"/>
  <c r="B27" i="22"/>
  <c r="D27" i="18"/>
  <c r="D26" i="18"/>
  <c r="B78" i="21"/>
  <c r="B77" i="21"/>
  <c r="B73" i="21"/>
  <c r="B72" i="21"/>
  <c r="B68" i="21"/>
  <c r="B67" i="21"/>
  <c r="B62" i="21"/>
  <c r="B61" i="21"/>
  <c r="B41" i="21"/>
  <c r="B40" i="21"/>
  <c r="B17" i="21"/>
  <c r="B16" i="21"/>
  <c r="AH9" i="36"/>
  <c r="AG9" i="36"/>
  <c r="AF9" i="36"/>
  <c r="AE9" i="36"/>
  <c r="AD9" i="36"/>
  <c r="AC9" i="36"/>
  <c r="AB9" i="36"/>
  <c r="AA9" i="36"/>
  <c r="Z9" i="36"/>
  <c r="Y9" i="36"/>
  <c r="X9" i="36"/>
  <c r="W9" i="36"/>
  <c r="V9" i="36"/>
  <c r="U9" i="36"/>
  <c r="T9" i="36"/>
  <c r="S9" i="36"/>
  <c r="R9" i="36"/>
  <c r="Q9" i="36"/>
  <c r="P9" i="36"/>
  <c r="O9" i="36"/>
  <c r="N9" i="36"/>
  <c r="M9" i="36"/>
  <c r="L9" i="36"/>
  <c r="K9" i="36"/>
  <c r="J9" i="36"/>
  <c r="I9" i="36"/>
  <c r="H9" i="36"/>
  <c r="G9" i="36"/>
  <c r="F9" i="36"/>
  <c r="E9" i="36"/>
  <c r="B56" i="22"/>
  <c r="B55" i="22"/>
  <c r="B51" i="22"/>
  <c r="B50" i="22"/>
  <c r="B17" i="22"/>
  <c r="B16" i="22"/>
  <c r="B47" i="33"/>
  <c r="B46" i="33"/>
  <c r="B17" i="33"/>
  <c r="B16" i="33"/>
  <c r="B60" i="28"/>
  <c r="B59" i="28"/>
  <c r="B17" i="28"/>
  <c r="B16" i="28"/>
  <c r="B78" i="35"/>
  <c r="B77" i="35"/>
  <c r="B17" i="35"/>
  <c r="B16" i="35"/>
  <c r="B100" i="29"/>
  <c r="B99" i="29"/>
  <c r="B17" i="29"/>
  <c r="B16" i="29"/>
  <c r="B107" i="26"/>
  <c r="B106" i="26"/>
  <c r="B17" i="26"/>
  <c r="B16" i="26"/>
  <c r="B81" i="24"/>
  <c r="B80" i="24"/>
  <c r="B17" i="24"/>
  <c r="B16" i="24"/>
  <c r="O3" i="32"/>
  <c r="N28" i="32"/>
  <c r="O28" i="32"/>
  <c r="N27" i="32"/>
  <c r="O27" i="32"/>
  <c r="N26" i="32"/>
  <c r="O26" i="32"/>
  <c r="N23" i="32"/>
  <c r="O23" i="32"/>
  <c r="N22" i="32"/>
  <c r="O22" i="32"/>
  <c r="N8" i="32"/>
  <c r="O8" i="32"/>
  <c r="N7" i="32"/>
  <c r="O7" i="32"/>
  <c r="N6" i="32"/>
  <c r="O6" i="32"/>
  <c r="M28" i="32"/>
  <c r="M27" i="32"/>
  <c r="M26" i="32"/>
  <c r="M25" i="32"/>
  <c r="M24" i="32"/>
  <c r="M23" i="32"/>
  <c r="M22" i="32"/>
  <c r="M21" i="32"/>
  <c r="M20" i="32"/>
  <c r="M19" i="32"/>
  <c r="M18" i="32"/>
  <c r="M17" i="32"/>
  <c r="M16" i="32"/>
  <c r="M15" i="32"/>
  <c r="M14" i="32"/>
  <c r="M13" i="32"/>
  <c r="M12" i="32"/>
  <c r="M11" i="32"/>
  <c r="M10" i="32"/>
  <c r="M9" i="32"/>
  <c r="M8" i="32"/>
  <c r="M7" i="32"/>
  <c r="M6" i="32"/>
  <c r="M5" i="32"/>
  <c r="M4" i="32"/>
  <c r="M2" i="32"/>
  <c r="M5" i="18"/>
  <c r="M7" i="18"/>
  <c r="E38" i="1"/>
  <c r="E31" i="2"/>
  <c r="D31" i="2"/>
  <c r="C31" i="2"/>
  <c r="E26" i="2"/>
  <c r="D26" i="2"/>
  <c r="C26" i="2"/>
  <c r="E12" i="2"/>
  <c r="D12" i="2"/>
  <c r="C12" i="2"/>
  <c r="E72" i="1"/>
  <c r="B1" i="18"/>
  <c r="E74" i="1"/>
  <c r="E152" i="1"/>
  <c r="E151" i="1"/>
  <c r="E150" i="1"/>
  <c r="E56" i="37"/>
  <c r="E38" i="37"/>
  <c r="E39" i="37"/>
  <c r="E40" i="37"/>
  <c r="E41" i="37"/>
  <c r="E42" i="37"/>
  <c r="E43" i="37"/>
  <c r="E44" i="37"/>
  <c r="E45" i="37"/>
  <c r="E46" i="37"/>
  <c r="E47" i="37"/>
  <c r="E48" i="37"/>
  <c r="E49" i="37"/>
  <c r="E50" i="37"/>
  <c r="E51" i="37"/>
  <c r="N5" i="32"/>
  <c r="O5" i="32"/>
  <c r="E52" i="37"/>
  <c r="N12" i="32"/>
  <c r="O12" i="32"/>
  <c r="E53" i="37"/>
  <c r="N18" i="32"/>
  <c r="O18" i="32"/>
  <c r="E54" i="37"/>
  <c r="N21" i="32"/>
  <c r="O21" i="32"/>
  <c r="E55" i="37"/>
  <c r="E37" i="37"/>
  <c r="E36" i="37"/>
  <c r="E88" i="1"/>
  <c r="E87" i="1"/>
  <c r="E86" i="1"/>
  <c r="E85" i="1"/>
  <c r="E83" i="1"/>
  <c r="E82" i="1"/>
  <c r="E81" i="1"/>
  <c r="E80" i="1"/>
  <c r="E79" i="1"/>
  <c r="D95" i="26"/>
  <c r="E78" i="1"/>
  <c r="E77" i="1"/>
  <c r="E76" i="1"/>
  <c r="E67" i="1"/>
  <c r="E66" i="1"/>
  <c r="AI24" i="10"/>
  <c r="AI23" i="10"/>
  <c r="N24" i="32"/>
  <c r="O24" i="32"/>
  <c r="N25" i="32"/>
  <c r="O25" i="32"/>
  <c r="N19" i="32"/>
  <c r="O19" i="32"/>
  <c r="N20" i="32"/>
  <c r="O20" i="32"/>
  <c r="N13" i="32"/>
  <c r="O13" i="32"/>
  <c r="N14" i="32"/>
  <c r="O14" i="32"/>
  <c r="N15" i="32"/>
  <c r="O15" i="32"/>
  <c r="N16" i="32"/>
  <c r="O16" i="32"/>
  <c r="N17" i="32"/>
  <c r="O17" i="32"/>
  <c r="N9" i="32"/>
  <c r="O9" i="32"/>
  <c r="N10" i="32"/>
  <c r="O10" i="32"/>
  <c r="N11" i="32"/>
  <c r="O11" i="32"/>
  <c r="N2" i="32"/>
  <c r="O2" i="32"/>
  <c r="N4" i="32"/>
  <c r="O4" i="32"/>
  <c r="E91" i="1"/>
  <c r="L106" i="20"/>
  <c r="E59" i="1"/>
  <c r="D37" i="23"/>
  <c r="E138" i="1"/>
  <c r="D25" i="35"/>
  <c r="E136" i="1"/>
  <c r="D23" i="35"/>
  <c r="H7" i="41"/>
  <c r="G9" i="41"/>
  <c r="P37" i="10"/>
  <c r="D58" i="26"/>
  <c r="B37" i="1"/>
  <c r="D19" i="18"/>
  <c r="Q71" i="10"/>
  <c r="O71" i="10"/>
  <c r="N71" i="10"/>
  <c r="Q70" i="10"/>
  <c r="O70" i="10"/>
  <c r="N70" i="10"/>
  <c r="Q66" i="10"/>
  <c r="O66" i="10"/>
  <c r="Q65" i="10"/>
  <c r="O65" i="10"/>
  <c r="Q64" i="10"/>
  <c r="O64" i="10"/>
  <c r="Q63" i="10"/>
  <c r="P63" i="10"/>
  <c r="O63" i="10"/>
  <c r="N65" i="10"/>
  <c r="N64" i="10"/>
  <c r="N63" i="10"/>
  <c r="O54" i="10"/>
  <c r="Y42" i="10"/>
  <c r="X42" i="10"/>
  <c r="W42" i="10"/>
  <c r="V42" i="10"/>
  <c r="Q15" i="10"/>
  <c r="Q39" i="10"/>
  <c r="P39" i="10"/>
  <c r="O39" i="10"/>
  <c r="N39" i="10"/>
  <c r="Q38" i="10"/>
  <c r="P38" i="10"/>
  <c r="O38" i="10"/>
  <c r="N38" i="10"/>
  <c r="Q37" i="10"/>
  <c r="O37" i="10"/>
  <c r="N37" i="10"/>
  <c r="Q58" i="10"/>
  <c r="O58" i="10"/>
  <c r="N58" i="10"/>
  <c r="O57" i="10"/>
  <c r="N57" i="10"/>
  <c r="Q56" i="10"/>
  <c r="P56" i="10"/>
  <c r="O56" i="10"/>
  <c r="N56" i="10"/>
  <c r="Q55" i="10"/>
  <c r="O55" i="10"/>
  <c r="N55" i="10"/>
  <c r="Q54" i="10"/>
  <c r="N54" i="10"/>
  <c r="P53" i="10"/>
  <c r="O53" i="10"/>
  <c r="N53" i="10"/>
  <c r="P52" i="10"/>
  <c r="O52" i="10"/>
  <c r="N52" i="10"/>
  <c r="P51" i="10"/>
  <c r="O51" i="10"/>
  <c r="N51" i="10"/>
  <c r="AI22" i="10"/>
  <c r="AI21" i="10"/>
  <c r="AI20" i="10"/>
  <c r="AI19" i="10"/>
  <c r="AI18" i="10"/>
  <c r="AI16" i="10"/>
  <c r="AI17" i="10"/>
  <c r="V16" i="10"/>
  <c r="W16" i="10"/>
  <c r="X16" i="10"/>
  <c r="Y16" i="10"/>
  <c r="X15" i="10"/>
  <c r="V15" i="10"/>
  <c r="B25" i="1"/>
  <c r="B69" i="1"/>
  <c r="B100" i="1"/>
  <c r="E93" i="1"/>
  <c r="E95" i="1"/>
  <c r="D27" i="26"/>
  <c r="E92" i="1"/>
  <c r="D25" i="26"/>
  <c r="E98" i="1"/>
  <c r="D72" i="26"/>
  <c r="E101" i="1"/>
  <c r="D74" i="26"/>
  <c r="E68" i="1"/>
  <c r="B149" i="1"/>
  <c r="E23" i="1"/>
  <c r="E148" i="1"/>
  <c r="Q21" i="10"/>
  <c r="O21" i="10"/>
  <c r="N21" i="10"/>
  <c r="P15" i="10"/>
  <c r="O15" i="10"/>
  <c r="N15" i="10"/>
  <c r="Q20" i="10"/>
  <c r="O20" i="10"/>
  <c r="Q19" i="10"/>
  <c r="O19" i="10"/>
  <c r="Q18" i="10"/>
  <c r="O18" i="10"/>
  <c r="Q17" i="10"/>
  <c r="O17" i="10"/>
  <c r="Q16" i="10"/>
  <c r="O16" i="10"/>
  <c r="N20" i="10"/>
  <c r="N19" i="10"/>
  <c r="I39" i="10"/>
  <c r="I38" i="10"/>
  <c r="I37" i="10"/>
  <c r="I36" i="10"/>
  <c r="I35" i="10"/>
  <c r="I34" i="10"/>
  <c r="I33" i="10"/>
  <c r="I32" i="10"/>
  <c r="I26" i="10"/>
  <c r="A1" i="1"/>
  <c r="E143" i="1"/>
  <c r="D53" i="35"/>
  <c r="E141" i="1"/>
  <c r="D51" i="35"/>
  <c r="E139" i="1"/>
  <c r="D26" i="35"/>
  <c r="E137" i="1"/>
  <c r="D24" i="35"/>
  <c r="E146" i="1"/>
  <c r="D49" i="23"/>
  <c r="D20" i="39"/>
  <c r="D21" i="39"/>
  <c r="C7" i="39"/>
  <c r="E147" i="1"/>
  <c r="D50" i="23"/>
  <c r="C9" i="1"/>
  <c r="C6" i="1"/>
  <c r="B20" i="18"/>
  <c r="B16" i="18"/>
  <c r="G20" i="18"/>
  <c r="E20" i="18"/>
  <c r="E16" i="18"/>
  <c r="D20" i="18"/>
  <c r="D80" i="29"/>
  <c r="D78" i="29"/>
  <c r="D63" i="29"/>
  <c r="D61" i="29"/>
  <c r="E126" i="1"/>
  <c r="D81" i="29"/>
  <c r="E121" i="1"/>
  <c r="D64" i="29"/>
  <c r="E124" i="1"/>
  <c r="D79" i="29"/>
  <c r="E119" i="1"/>
  <c r="D62" i="29"/>
  <c r="E111" i="1"/>
  <c r="E114" i="1"/>
  <c r="D41" i="29"/>
  <c r="D42" i="29"/>
  <c r="D40" i="29"/>
  <c r="E116" i="1"/>
  <c r="D43" i="29"/>
  <c r="D25" i="29"/>
  <c r="E109" i="1"/>
  <c r="D24" i="29"/>
  <c r="D23" i="29"/>
  <c r="D47" i="28"/>
  <c r="D50" i="28"/>
  <c r="D40" i="28"/>
  <c r="D43" i="28"/>
  <c r="D33" i="28"/>
  <c r="D61" i="35"/>
  <c r="B61" i="35"/>
  <c r="D52" i="35"/>
  <c r="D50" i="35"/>
  <c r="D57" i="35"/>
  <c r="D34" i="35"/>
  <c r="B34" i="35"/>
  <c r="D41" i="26"/>
  <c r="D47" i="26"/>
  <c r="D52" i="26"/>
  <c r="D42" i="26"/>
  <c r="D36" i="26"/>
  <c r="D53" i="26"/>
  <c r="P71" i="10"/>
  <c r="D40" i="26"/>
  <c r="P66" i="10"/>
  <c r="P70" i="10"/>
  <c r="D64" i="24"/>
  <c r="D63" i="24"/>
  <c r="B28" i="24"/>
  <c r="C64" i="1"/>
  <c r="N18" i="10"/>
  <c r="C63" i="1"/>
  <c r="N17" i="10"/>
  <c r="C62" i="1"/>
  <c r="N16" i="10"/>
  <c r="B27" i="24"/>
  <c r="B26" i="24"/>
  <c r="B25" i="24"/>
  <c r="E65" i="1"/>
  <c r="D28" i="24"/>
  <c r="E64" i="1"/>
  <c r="D27" i="24"/>
  <c r="E63" i="1"/>
  <c r="D26" i="24"/>
  <c r="E62" i="1"/>
  <c r="D25" i="24"/>
  <c r="D27" i="23"/>
  <c r="E53" i="1"/>
  <c r="D21" i="23"/>
  <c r="E51" i="1"/>
  <c r="D19" i="23"/>
  <c r="F34" i="32"/>
  <c r="F36" i="32"/>
  <c r="E173" i="1"/>
  <c r="D39" i="23"/>
  <c r="D38" i="23"/>
  <c r="I7" i="41"/>
  <c r="H9" i="41"/>
  <c r="G14" i="18"/>
  <c r="G6" i="18"/>
  <c r="H9" i="18"/>
  <c r="H6" i="18"/>
  <c r="F11" i="18"/>
  <c r="F6" i="18"/>
  <c r="D9" i="18"/>
  <c r="D11" i="18"/>
  <c r="D4" i="18"/>
  <c r="D7" i="18"/>
  <c r="D12" i="18"/>
  <c r="D15" i="18"/>
  <c r="D14" i="18"/>
  <c r="D6" i="18"/>
  <c r="D16" i="18"/>
  <c r="D5" i="18"/>
  <c r="D13" i="18"/>
  <c r="D8" i="18"/>
  <c r="D10" i="18"/>
  <c r="P65" i="10"/>
  <c r="B94" i="1"/>
  <c r="B175" i="1"/>
  <c r="D7" i="1"/>
  <c r="P17" i="10"/>
  <c r="P18" i="10"/>
  <c r="P16" i="10"/>
  <c r="P19" i="10"/>
  <c r="P20" i="10"/>
  <c r="P21" i="10"/>
  <c r="F5" i="18"/>
  <c r="E7" i="18"/>
  <c r="E10" i="18"/>
  <c r="F8" i="18"/>
  <c r="F9" i="18"/>
  <c r="F4" i="18"/>
  <c r="F13" i="18"/>
  <c r="G10" i="18"/>
  <c r="G7" i="18"/>
  <c r="G12" i="18"/>
  <c r="G5" i="18"/>
  <c r="G11" i="18"/>
  <c r="G15" i="18"/>
  <c r="G8" i="18"/>
  <c r="G13" i="18"/>
  <c r="G16" i="18"/>
  <c r="F12" i="18"/>
  <c r="F15" i="18"/>
  <c r="F10" i="18"/>
  <c r="F16" i="18"/>
  <c r="F7" i="18"/>
  <c r="E4" i="18"/>
  <c r="E15" i="18"/>
  <c r="E5" i="18"/>
  <c r="E12" i="18"/>
  <c r="E9" i="18"/>
  <c r="E13" i="18"/>
  <c r="B9" i="18"/>
  <c r="H13" i="18"/>
  <c r="B7" i="18"/>
  <c r="B12" i="18"/>
  <c r="H14" i="18"/>
  <c r="H11" i="18"/>
  <c r="E14" i="18"/>
  <c r="H15" i="18"/>
  <c r="B5" i="18"/>
  <c r="B14" i="18"/>
  <c r="H16" i="18"/>
  <c r="H5" i="18"/>
  <c r="B4" i="18"/>
  <c r="G4" i="18"/>
  <c r="E6" i="18"/>
  <c r="G9" i="18"/>
  <c r="E11" i="18"/>
  <c r="H12" i="18"/>
  <c r="F14" i="18"/>
  <c r="B6" i="18"/>
  <c r="B15" i="18"/>
  <c r="B10" i="18"/>
  <c r="H8" i="18"/>
  <c r="B11" i="18"/>
  <c r="H10" i="18"/>
  <c r="B13" i="18"/>
  <c r="H7" i="18"/>
  <c r="H4" i="18"/>
  <c r="E8" i="18"/>
  <c r="B8" i="18"/>
  <c r="D26" i="29"/>
  <c r="D54" i="35"/>
  <c r="D36" i="24"/>
  <c r="D37" i="24"/>
  <c r="J7" i="41"/>
  <c r="I9" i="41"/>
  <c r="C8" i="2"/>
  <c r="H36" i="18"/>
  <c r="G36" i="18"/>
  <c r="F36" i="18"/>
  <c r="E36" i="18"/>
  <c r="D36" i="18"/>
  <c r="B36" i="18"/>
  <c r="I35" i="18"/>
  <c r="I34" i="18"/>
  <c r="I33" i="18"/>
  <c r="I32" i="18"/>
  <c r="I31" i="18"/>
  <c r="I30" i="18"/>
  <c r="I29" i="18"/>
  <c r="I28" i="18"/>
  <c r="I27" i="18"/>
  <c r="I26" i="18"/>
  <c r="I25" i="18"/>
  <c r="I24" i="18"/>
  <c r="I23" i="18"/>
  <c r="K7" i="41"/>
  <c r="J9" i="41"/>
  <c r="I36" i="18"/>
  <c r="L7" i="41"/>
  <c r="K9" i="41"/>
  <c r="I16" i="18"/>
  <c r="I4" i="18"/>
  <c r="I12" i="18"/>
  <c r="L9" i="41"/>
  <c r="M7" i="41"/>
  <c r="I10" i="18"/>
  <c r="I15" i="18"/>
  <c r="I9" i="18"/>
  <c r="I5" i="18"/>
  <c r="I13" i="18"/>
  <c r="I8" i="18"/>
  <c r="I14" i="18"/>
  <c r="G17" i="18"/>
  <c r="F17" i="18"/>
  <c r="I7" i="18"/>
  <c r="I11" i="18"/>
  <c r="H17" i="18"/>
  <c r="I6" i="18"/>
  <c r="M9" i="41"/>
  <c r="N7" i="41"/>
  <c r="I17" i="18"/>
  <c r="E36" i="1"/>
  <c r="E73" i="1"/>
  <c r="N9" i="41"/>
  <c r="O7" i="41"/>
  <c r="E44" i="1"/>
  <c r="D30" i="28"/>
  <c r="P64" i="10"/>
  <c r="D48" i="28"/>
  <c r="D41" i="28"/>
  <c r="D34" i="28"/>
  <c r="P7" i="41"/>
  <c r="O9" i="41"/>
  <c r="AB43" i="20"/>
  <c r="Z43" i="20"/>
  <c r="Y43" i="20"/>
  <c r="W43" i="20"/>
  <c r="W2" i="20"/>
  <c r="Y19" i="10"/>
  <c r="X19" i="10"/>
  <c r="W19" i="10"/>
  <c r="V19" i="10"/>
  <c r="Y18" i="10"/>
  <c r="W18" i="10"/>
  <c r="Y17" i="10"/>
  <c r="W17" i="10"/>
  <c r="D30" i="35"/>
  <c r="D17" i="35"/>
  <c r="D16" i="35"/>
  <c r="D15" i="35"/>
  <c r="F8" i="35"/>
  <c r="G8" i="35"/>
  <c r="H8" i="35"/>
  <c r="I8" i="35"/>
  <c r="J8" i="35"/>
  <c r="K8" i="35"/>
  <c r="L8" i="35"/>
  <c r="M8" i="35"/>
  <c r="N8" i="35"/>
  <c r="O8" i="35"/>
  <c r="P8" i="35"/>
  <c r="Q8" i="35"/>
  <c r="R8" i="35"/>
  <c r="S8" i="35"/>
  <c r="T8" i="35"/>
  <c r="U8" i="35"/>
  <c r="V8" i="35"/>
  <c r="W8" i="35"/>
  <c r="X8" i="35"/>
  <c r="Y8" i="35"/>
  <c r="Z8" i="35"/>
  <c r="AA8" i="35"/>
  <c r="AB8" i="35"/>
  <c r="AC8" i="35"/>
  <c r="AD8" i="35"/>
  <c r="AE8" i="35"/>
  <c r="AF8" i="35"/>
  <c r="AG8" i="35"/>
  <c r="AH8" i="35"/>
  <c r="AI8" i="35"/>
  <c r="AJ8" i="35"/>
  <c r="AK8" i="35"/>
  <c r="AL8" i="35"/>
  <c r="AM8" i="35"/>
  <c r="AN8" i="35"/>
  <c r="AO8" i="35"/>
  <c r="AP8" i="35"/>
  <c r="AQ8" i="35"/>
  <c r="AR8" i="35"/>
  <c r="F7" i="35"/>
  <c r="A4" i="35"/>
  <c r="A1" i="35"/>
  <c r="D41" i="33"/>
  <c r="D26" i="33"/>
  <c r="D25" i="33"/>
  <c r="D24" i="33"/>
  <c r="E170" i="1"/>
  <c r="D17" i="33"/>
  <c r="D16" i="33"/>
  <c r="D15" i="33"/>
  <c r="F8" i="33"/>
  <c r="G8" i="33"/>
  <c r="H8" i="33"/>
  <c r="I8" i="33"/>
  <c r="J8" i="33"/>
  <c r="K8" i="33"/>
  <c r="L8" i="33"/>
  <c r="M8" i="33"/>
  <c r="N8" i="33"/>
  <c r="O8" i="33"/>
  <c r="P8" i="33"/>
  <c r="Q8" i="33"/>
  <c r="R8" i="33"/>
  <c r="S8" i="33"/>
  <c r="T8" i="33"/>
  <c r="U8" i="33"/>
  <c r="V8" i="33"/>
  <c r="W8" i="33"/>
  <c r="X8" i="33"/>
  <c r="Y8" i="33"/>
  <c r="Z8" i="33"/>
  <c r="AA8" i="33"/>
  <c r="AB8" i="33"/>
  <c r="AC8" i="33"/>
  <c r="AD8" i="33"/>
  <c r="AE8" i="33"/>
  <c r="AF8" i="33"/>
  <c r="AG8" i="33"/>
  <c r="AH8" i="33"/>
  <c r="AI8" i="33"/>
  <c r="AJ8" i="33"/>
  <c r="AK8" i="33"/>
  <c r="AL8" i="33"/>
  <c r="AM8" i="33"/>
  <c r="AN8" i="33"/>
  <c r="AO8" i="33"/>
  <c r="AP8" i="33"/>
  <c r="AQ8" i="33"/>
  <c r="AR8" i="33"/>
  <c r="F7" i="33"/>
  <c r="F9" i="33"/>
  <c r="A4" i="33"/>
  <c r="A1" i="33"/>
  <c r="Q7" i="41"/>
  <c r="P9" i="41"/>
  <c r="V17" i="10"/>
  <c r="D24" i="26"/>
  <c r="X17" i="10"/>
  <c r="D26" i="26"/>
  <c r="D71" i="26"/>
  <c r="V18" i="10"/>
  <c r="X18" i="10"/>
  <c r="D73" i="26"/>
  <c r="F39" i="35"/>
  <c r="F40" i="35"/>
  <c r="D32" i="33"/>
  <c r="P57" i="10"/>
  <c r="D27" i="33"/>
  <c r="P54" i="10"/>
  <c r="F67" i="35"/>
  <c r="F66" i="35"/>
  <c r="F55" i="35"/>
  <c r="F50" i="35"/>
  <c r="E174" i="1"/>
  <c r="D31" i="33"/>
  <c r="E171" i="1"/>
  <c r="F9" i="35"/>
  <c r="G7" i="35"/>
  <c r="D27" i="35"/>
  <c r="F23" i="35"/>
  <c r="F28" i="35"/>
  <c r="G7" i="33"/>
  <c r="R7" i="41"/>
  <c r="Q9" i="41"/>
  <c r="G39" i="35"/>
  <c r="G40" i="35"/>
  <c r="D28" i="33"/>
  <c r="P55" i="10"/>
  <c r="D33" i="33"/>
  <c r="P58" i="10"/>
  <c r="G66" i="35"/>
  <c r="G67" i="35"/>
  <c r="F56" i="35"/>
  <c r="G55" i="35"/>
  <c r="G50" i="35"/>
  <c r="G23" i="35"/>
  <c r="G9" i="35"/>
  <c r="H7" i="35"/>
  <c r="G28" i="35"/>
  <c r="F29" i="35"/>
  <c r="F31" i="35"/>
  <c r="H7" i="33"/>
  <c r="G9" i="33"/>
  <c r="S7" i="41"/>
  <c r="R9" i="41"/>
  <c r="I34" i="33"/>
  <c r="I37" i="33"/>
  <c r="Y34" i="33"/>
  <c r="Y37" i="33"/>
  <c r="AI34" i="33"/>
  <c r="AI37" i="33"/>
  <c r="H39" i="35"/>
  <c r="H40" i="35"/>
  <c r="U34" i="33"/>
  <c r="U37" i="33"/>
  <c r="AM34" i="33"/>
  <c r="AM37" i="33"/>
  <c r="H34" i="33"/>
  <c r="H37" i="33"/>
  <c r="V34" i="33"/>
  <c r="V37" i="33"/>
  <c r="AO34" i="33"/>
  <c r="AO37" i="33"/>
  <c r="AG34" i="33"/>
  <c r="AG37" i="33"/>
  <c r="L34" i="33"/>
  <c r="L37" i="33"/>
  <c r="AD34" i="33"/>
  <c r="AD37" i="33"/>
  <c r="Z34" i="33"/>
  <c r="Z37" i="33"/>
  <c r="AE34" i="33"/>
  <c r="AE37" i="33"/>
  <c r="AC34" i="33"/>
  <c r="AC37" i="33"/>
  <c r="AK34" i="33"/>
  <c r="AK37" i="33"/>
  <c r="AL34" i="33"/>
  <c r="AL37" i="33"/>
  <c r="AP34" i="33"/>
  <c r="AP37" i="33"/>
  <c r="AB34" i="33"/>
  <c r="AB37" i="33"/>
  <c r="M34" i="33"/>
  <c r="M37" i="33"/>
  <c r="W34" i="33"/>
  <c r="W37" i="33"/>
  <c r="AN34" i="33"/>
  <c r="AN37" i="33"/>
  <c r="AQ34" i="33"/>
  <c r="AQ37" i="33"/>
  <c r="AR34" i="33"/>
  <c r="AR37" i="33"/>
  <c r="R34" i="33"/>
  <c r="R37" i="33"/>
  <c r="Q34" i="33"/>
  <c r="Q37" i="33"/>
  <c r="G34" i="33"/>
  <c r="G37" i="33"/>
  <c r="AA34" i="33"/>
  <c r="AA37" i="33"/>
  <c r="T34" i="33"/>
  <c r="T37" i="33"/>
  <c r="O34" i="33"/>
  <c r="O37" i="33"/>
  <c r="F34" i="33"/>
  <c r="F37" i="33"/>
  <c r="X34" i="33"/>
  <c r="X37" i="33"/>
  <c r="K34" i="33"/>
  <c r="K37" i="33"/>
  <c r="AH34" i="33"/>
  <c r="AH37" i="33"/>
  <c r="P34" i="33"/>
  <c r="P37" i="33"/>
  <c r="J34" i="33"/>
  <c r="J37" i="33"/>
  <c r="N34" i="33"/>
  <c r="N37" i="33"/>
  <c r="AF34" i="33"/>
  <c r="AF37" i="33"/>
  <c r="AJ34" i="33"/>
  <c r="AJ37" i="33"/>
  <c r="S34" i="33"/>
  <c r="S37" i="33"/>
  <c r="H66" i="35"/>
  <c r="H67" i="35"/>
  <c r="G56" i="35"/>
  <c r="H50" i="35"/>
  <c r="H55" i="35"/>
  <c r="F58" i="35"/>
  <c r="F36" i="35"/>
  <c r="F42" i="35"/>
  <c r="F35" i="35"/>
  <c r="F41" i="35"/>
  <c r="H23" i="35"/>
  <c r="H28" i="35"/>
  <c r="I7" i="35"/>
  <c r="H9" i="35"/>
  <c r="G29" i="35"/>
  <c r="G31" i="35"/>
  <c r="H9" i="33"/>
  <c r="I7" i="33"/>
  <c r="T7" i="41"/>
  <c r="S9" i="41"/>
  <c r="I40" i="35"/>
  <c r="I39" i="35"/>
  <c r="D34" i="33"/>
  <c r="F62" i="35"/>
  <c r="F63" i="35"/>
  <c r="F69" i="35"/>
  <c r="I66" i="35"/>
  <c r="I67" i="35"/>
  <c r="H56" i="35"/>
  <c r="I55" i="35"/>
  <c r="I50" i="35"/>
  <c r="G58" i="35"/>
  <c r="F45" i="35"/>
  <c r="G35" i="35"/>
  <c r="G41" i="35"/>
  <c r="G36" i="35"/>
  <c r="G42" i="35"/>
  <c r="J7" i="35"/>
  <c r="I9" i="35"/>
  <c r="I28" i="35"/>
  <c r="I23" i="35"/>
  <c r="H29" i="35"/>
  <c r="H31" i="35"/>
  <c r="I9" i="33"/>
  <c r="J7" i="33"/>
  <c r="T9" i="41"/>
  <c r="U7" i="41"/>
  <c r="J40" i="35"/>
  <c r="J39" i="35"/>
  <c r="G62" i="35"/>
  <c r="G68" i="35"/>
  <c r="G63" i="35"/>
  <c r="G69" i="35"/>
  <c r="J66" i="35"/>
  <c r="J67" i="35"/>
  <c r="F68" i="35"/>
  <c r="F72" i="35"/>
  <c r="I56" i="35"/>
  <c r="J55" i="35"/>
  <c r="J50" i="35"/>
  <c r="H58" i="35"/>
  <c r="G45" i="35"/>
  <c r="J9" i="35"/>
  <c r="J28" i="35"/>
  <c r="H35" i="35"/>
  <c r="H41" i="35"/>
  <c r="H36" i="35"/>
  <c r="H42" i="35"/>
  <c r="K7" i="35"/>
  <c r="J23" i="35"/>
  <c r="I29" i="35"/>
  <c r="I31" i="35"/>
  <c r="J9" i="33"/>
  <c r="K7" i="33"/>
  <c r="U9" i="41"/>
  <c r="V7" i="41"/>
  <c r="K40" i="35"/>
  <c r="K39" i="35"/>
  <c r="G72" i="35"/>
  <c r="H63" i="35"/>
  <c r="H69" i="35"/>
  <c r="H62" i="35"/>
  <c r="H68" i="35"/>
  <c r="K66" i="35"/>
  <c r="K67" i="35"/>
  <c r="J56" i="35"/>
  <c r="K55" i="35"/>
  <c r="K50" i="35"/>
  <c r="I58" i="35"/>
  <c r="K23" i="35"/>
  <c r="L7" i="35"/>
  <c r="H45" i="35"/>
  <c r="K9" i="35"/>
  <c r="K28" i="35"/>
  <c r="I35" i="35"/>
  <c r="I41" i="35"/>
  <c r="I36" i="35"/>
  <c r="I42" i="35"/>
  <c r="J29" i="35"/>
  <c r="J31" i="35"/>
  <c r="L7" i="33"/>
  <c r="K9" i="33"/>
  <c r="V9" i="41"/>
  <c r="W7" i="41"/>
  <c r="L39" i="35"/>
  <c r="L40" i="35"/>
  <c r="H72" i="35"/>
  <c r="I62" i="35"/>
  <c r="I63" i="35"/>
  <c r="I69" i="35"/>
  <c r="L67" i="35"/>
  <c r="L66" i="35"/>
  <c r="K56" i="35"/>
  <c r="L28" i="35"/>
  <c r="L50" i="35"/>
  <c r="L55" i="35"/>
  <c r="J58" i="35"/>
  <c r="L9" i="35"/>
  <c r="M7" i="35"/>
  <c r="L23" i="35"/>
  <c r="I45" i="35"/>
  <c r="J35" i="35"/>
  <c r="J41" i="35"/>
  <c r="J36" i="35"/>
  <c r="J42" i="35"/>
  <c r="K29" i="35"/>
  <c r="K31" i="35"/>
  <c r="M7" i="33"/>
  <c r="L9" i="33"/>
  <c r="W9" i="41"/>
  <c r="X7" i="41"/>
  <c r="M39" i="35"/>
  <c r="M40" i="35"/>
  <c r="J62" i="35"/>
  <c r="J68" i="35"/>
  <c r="J63" i="35"/>
  <c r="J69" i="35"/>
  <c r="M28" i="35"/>
  <c r="M66" i="35"/>
  <c r="M67" i="35"/>
  <c r="I68" i="35"/>
  <c r="I72" i="35"/>
  <c r="M9" i="35"/>
  <c r="L56" i="35"/>
  <c r="M50" i="35"/>
  <c r="M55" i="35"/>
  <c r="K58" i="35"/>
  <c r="N7" i="35"/>
  <c r="M23" i="35"/>
  <c r="J45" i="35"/>
  <c r="K35" i="35"/>
  <c r="K41" i="35"/>
  <c r="K36" i="35"/>
  <c r="K42" i="35"/>
  <c r="L29" i="35"/>
  <c r="L31" i="35"/>
  <c r="N7" i="33"/>
  <c r="M9" i="33"/>
  <c r="Y7" i="41"/>
  <c r="X9" i="41"/>
  <c r="N39" i="35"/>
  <c r="N40" i="35"/>
  <c r="J72" i="35"/>
  <c r="K62" i="35"/>
  <c r="K63" i="35"/>
  <c r="N67" i="35"/>
  <c r="N66" i="35"/>
  <c r="M56" i="35"/>
  <c r="N55" i="35"/>
  <c r="N50" i="35"/>
  <c r="O7" i="35"/>
  <c r="N28" i="35"/>
  <c r="L58" i="35"/>
  <c r="N9" i="35"/>
  <c r="N23" i="35"/>
  <c r="K45" i="35"/>
  <c r="L35" i="35"/>
  <c r="L41" i="35"/>
  <c r="L36" i="35"/>
  <c r="L42" i="35"/>
  <c r="M29" i="35"/>
  <c r="M31" i="35"/>
  <c r="O7" i="33"/>
  <c r="N9" i="33"/>
  <c r="Z7" i="41"/>
  <c r="Y9" i="41"/>
  <c r="O39" i="35"/>
  <c r="O40" i="35"/>
  <c r="L63" i="35"/>
  <c r="L69" i="35"/>
  <c r="L62" i="35"/>
  <c r="L68" i="35"/>
  <c r="O67" i="35"/>
  <c r="O66" i="35"/>
  <c r="K69" i="35"/>
  <c r="K68" i="35"/>
  <c r="N56" i="35"/>
  <c r="P7" i="35"/>
  <c r="O55" i="35"/>
  <c r="O50" i="35"/>
  <c r="O28" i="35"/>
  <c r="O23" i="35"/>
  <c r="O9" i="35"/>
  <c r="M58" i="35"/>
  <c r="L45" i="35"/>
  <c r="M36" i="35"/>
  <c r="M42" i="35"/>
  <c r="M35" i="35"/>
  <c r="M41" i="35"/>
  <c r="N29" i="35"/>
  <c r="N31" i="35"/>
  <c r="P7" i="33"/>
  <c r="O9" i="33"/>
  <c r="AA7" i="41"/>
  <c r="Z9" i="41"/>
  <c r="P23" i="35"/>
  <c r="P39" i="35"/>
  <c r="P40" i="35"/>
  <c r="P28" i="35"/>
  <c r="K72" i="35"/>
  <c r="L72" i="35"/>
  <c r="M63" i="35"/>
  <c r="M69" i="35"/>
  <c r="M62" i="35"/>
  <c r="M68" i="35"/>
  <c r="P66" i="35"/>
  <c r="P67" i="35"/>
  <c r="Q7" i="35"/>
  <c r="P9" i="35"/>
  <c r="O56" i="35"/>
  <c r="P55" i="35"/>
  <c r="P50" i="35"/>
  <c r="N58" i="35"/>
  <c r="M45" i="35"/>
  <c r="N36" i="35"/>
  <c r="N42" i="35"/>
  <c r="N35" i="35"/>
  <c r="N41" i="35"/>
  <c r="O29" i="35"/>
  <c r="O31" i="35"/>
  <c r="P9" i="33"/>
  <c r="Q7" i="33"/>
  <c r="AB7" i="41"/>
  <c r="AA9" i="41"/>
  <c r="Q39" i="35"/>
  <c r="Q40" i="35"/>
  <c r="Q55" i="35"/>
  <c r="Q28" i="35"/>
  <c r="M72" i="35"/>
  <c r="N62" i="35"/>
  <c r="N68" i="35"/>
  <c r="N63" i="35"/>
  <c r="Q9" i="35"/>
  <c r="R7" i="35"/>
  <c r="Q23" i="35"/>
  <c r="Q50" i="35"/>
  <c r="Q66" i="35"/>
  <c r="Q67" i="35"/>
  <c r="P56" i="35"/>
  <c r="O58" i="35"/>
  <c r="N45" i="35"/>
  <c r="O35" i="35"/>
  <c r="O41" i="35"/>
  <c r="O36" i="35"/>
  <c r="O42" i="35"/>
  <c r="P29" i="35"/>
  <c r="P31" i="35"/>
  <c r="R7" i="33"/>
  <c r="Q9" i="33"/>
  <c r="AB9" i="41"/>
  <c r="AC7" i="41"/>
  <c r="R39" i="35"/>
  <c r="R40" i="35"/>
  <c r="S7" i="35"/>
  <c r="R50" i="35"/>
  <c r="R55" i="35"/>
  <c r="R23" i="35"/>
  <c r="R28" i="35"/>
  <c r="R9" i="35"/>
  <c r="O62" i="35"/>
  <c r="O68" i="35"/>
  <c r="O63" i="35"/>
  <c r="O69" i="35"/>
  <c r="Q56" i="35"/>
  <c r="R66" i="35"/>
  <c r="R67" i="35"/>
  <c r="N69" i="35"/>
  <c r="N72" i="35"/>
  <c r="P58" i="35"/>
  <c r="O45" i="35"/>
  <c r="P35" i="35"/>
  <c r="P41" i="35"/>
  <c r="P36" i="35"/>
  <c r="P42" i="35"/>
  <c r="Q29" i="35"/>
  <c r="Q31" i="35"/>
  <c r="R9" i="33"/>
  <c r="S7" i="33"/>
  <c r="AC9" i="41"/>
  <c r="AD7" i="41"/>
  <c r="S40" i="35"/>
  <c r="S39" i="35"/>
  <c r="S66" i="35"/>
  <c r="S9" i="35"/>
  <c r="S28" i="35"/>
  <c r="S55" i="35"/>
  <c r="S50" i="35"/>
  <c r="T7" i="35"/>
  <c r="S23" i="35"/>
  <c r="S67" i="35"/>
  <c r="R56" i="35"/>
  <c r="O72" i="35"/>
  <c r="P62" i="35"/>
  <c r="P68" i="35"/>
  <c r="P63" i="35"/>
  <c r="Q58" i="35"/>
  <c r="P45" i="35"/>
  <c r="Q35" i="35"/>
  <c r="Q41" i="35"/>
  <c r="Q36" i="35"/>
  <c r="Q42" i="35"/>
  <c r="R29" i="35"/>
  <c r="R31" i="35"/>
  <c r="S9" i="33"/>
  <c r="T7" i="33"/>
  <c r="AD9" i="41"/>
  <c r="AE7" i="41"/>
  <c r="T55" i="35"/>
  <c r="T40" i="35"/>
  <c r="T39" i="35"/>
  <c r="S56" i="35"/>
  <c r="U7" i="35"/>
  <c r="T66" i="35"/>
  <c r="T23" i="35"/>
  <c r="T9" i="35"/>
  <c r="T67" i="35"/>
  <c r="T28" i="35"/>
  <c r="T50" i="35"/>
  <c r="Q62" i="35"/>
  <c r="Q68" i="35"/>
  <c r="Q63" i="35"/>
  <c r="Q69" i="35"/>
  <c r="P69" i="35"/>
  <c r="P72" i="35"/>
  <c r="R58" i="35"/>
  <c r="Q45" i="35"/>
  <c r="R35" i="35"/>
  <c r="R41" i="35"/>
  <c r="R36" i="35"/>
  <c r="R42" i="35"/>
  <c r="S29" i="35"/>
  <c r="S31" i="35"/>
  <c r="U7" i="33"/>
  <c r="T9" i="33"/>
  <c r="AE9" i="41"/>
  <c r="AF7" i="41"/>
  <c r="U40" i="35"/>
  <c r="U39" i="35"/>
  <c r="T56" i="35"/>
  <c r="U55" i="35"/>
  <c r="U23" i="35"/>
  <c r="U50" i="35"/>
  <c r="U67" i="35"/>
  <c r="U28" i="35"/>
  <c r="U9" i="35"/>
  <c r="V7" i="35"/>
  <c r="U66" i="35"/>
  <c r="Q72" i="35"/>
  <c r="R62" i="35"/>
  <c r="R68" i="35"/>
  <c r="R63" i="35"/>
  <c r="R69" i="35"/>
  <c r="S58" i="35"/>
  <c r="R45" i="35"/>
  <c r="S35" i="35"/>
  <c r="S41" i="35"/>
  <c r="S36" i="35"/>
  <c r="S42" i="35"/>
  <c r="T29" i="35"/>
  <c r="T31" i="35"/>
  <c r="V7" i="33"/>
  <c r="U9" i="33"/>
  <c r="AG7" i="41"/>
  <c r="AF9" i="41"/>
  <c r="V66" i="35"/>
  <c r="V39" i="35"/>
  <c r="V40" i="35"/>
  <c r="V28" i="35"/>
  <c r="V55" i="35"/>
  <c r="V50" i="35"/>
  <c r="V23" i="35"/>
  <c r="U56" i="35"/>
  <c r="V67" i="35"/>
  <c r="W7" i="35"/>
  <c r="V9" i="35"/>
  <c r="R72" i="35"/>
  <c r="S62" i="35"/>
  <c r="S68" i="35"/>
  <c r="S63" i="35"/>
  <c r="S69" i="35"/>
  <c r="T58" i="35"/>
  <c r="S45" i="35"/>
  <c r="T35" i="35"/>
  <c r="T41" i="35"/>
  <c r="T36" i="35"/>
  <c r="T42" i="35"/>
  <c r="U29" i="35"/>
  <c r="U31" i="35"/>
  <c r="W7" i="33"/>
  <c r="V9" i="33"/>
  <c r="AH7" i="41"/>
  <c r="AG9" i="41"/>
  <c r="W67" i="35"/>
  <c r="W39" i="35"/>
  <c r="W40" i="35"/>
  <c r="V56" i="35"/>
  <c r="W66" i="35"/>
  <c r="W28" i="35"/>
  <c r="W9" i="35"/>
  <c r="X7" i="35"/>
  <c r="W50" i="35"/>
  <c r="W55" i="35"/>
  <c r="W23" i="35"/>
  <c r="S72" i="35"/>
  <c r="T63" i="35"/>
  <c r="T69" i="35"/>
  <c r="T62" i="35"/>
  <c r="T68" i="35"/>
  <c r="U58" i="35"/>
  <c r="T45" i="35"/>
  <c r="U36" i="35"/>
  <c r="U42" i="35"/>
  <c r="U35" i="35"/>
  <c r="U41" i="35"/>
  <c r="V29" i="35"/>
  <c r="V31" i="35"/>
  <c r="X7" i="33"/>
  <c r="W9" i="33"/>
  <c r="AI7" i="41"/>
  <c r="AH9" i="41"/>
  <c r="X50" i="35"/>
  <c r="X40" i="35"/>
  <c r="X39" i="35"/>
  <c r="X67" i="35"/>
  <c r="W56" i="35"/>
  <c r="Y7" i="35"/>
  <c r="X9" i="35"/>
  <c r="X66" i="35"/>
  <c r="X23" i="35"/>
  <c r="X55" i="35"/>
  <c r="X28" i="35"/>
  <c r="T72" i="35"/>
  <c r="U63" i="35"/>
  <c r="U69" i="35"/>
  <c r="U62" i="35"/>
  <c r="U68" i="35"/>
  <c r="V58" i="35"/>
  <c r="U45" i="35"/>
  <c r="V36" i="35"/>
  <c r="V42" i="35"/>
  <c r="V35" i="35"/>
  <c r="V41" i="35"/>
  <c r="W29" i="35"/>
  <c r="W31" i="35"/>
  <c r="Y7" i="33"/>
  <c r="X9" i="33"/>
  <c r="AJ7" i="41"/>
  <c r="AI9" i="41"/>
  <c r="Y55" i="35"/>
  <c r="Y39" i="35"/>
  <c r="Y40" i="35"/>
  <c r="Z7" i="35"/>
  <c r="Y66" i="35"/>
  <c r="Y67" i="35"/>
  <c r="Y28" i="35"/>
  <c r="Y23" i="35"/>
  <c r="Y9" i="35"/>
  <c r="Y50" i="35"/>
  <c r="X56" i="35"/>
  <c r="U72" i="35"/>
  <c r="V62" i="35"/>
  <c r="V68" i="35"/>
  <c r="V63" i="35"/>
  <c r="V69" i="35"/>
  <c r="W58" i="35"/>
  <c r="V45" i="35"/>
  <c r="W35" i="35"/>
  <c r="W41" i="35"/>
  <c r="W36" i="35"/>
  <c r="W42" i="35"/>
  <c r="X29" i="35"/>
  <c r="X31" i="35"/>
  <c r="Y9" i="33"/>
  <c r="Z7" i="33"/>
  <c r="AK7" i="41"/>
  <c r="AJ9" i="41"/>
  <c r="Z40" i="35"/>
  <c r="Z39" i="35"/>
  <c r="Z66" i="35"/>
  <c r="Y56" i="35"/>
  <c r="AA7" i="35"/>
  <c r="Z28" i="35"/>
  <c r="Z67" i="35"/>
  <c r="Z9" i="35"/>
  <c r="Z50" i="35"/>
  <c r="Z23" i="35"/>
  <c r="Z55" i="35"/>
  <c r="V72" i="35"/>
  <c r="W62" i="35"/>
  <c r="W68" i="35"/>
  <c r="W63" i="35"/>
  <c r="W69" i="35"/>
  <c r="X58" i="35"/>
  <c r="Y29" i="35"/>
  <c r="Y31" i="35"/>
  <c r="Y35" i="35"/>
  <c r="Y41" i="35"/>
  <c r="W45" i="35"/>
  <c r="X35" i="35"/>
  <c r="X41" i="35"/>
  <c r="X36" i="35"/>
  <c r="X42" i="35"/>
  <c r="Z9" i="33"/>
  <c r="AA7" i="33"/>
  <c r="AK9" i="41"/>
  <c r="AL7" i="41"/>
  <c r="AA67" i="35"/>
  <c r="AA40" i="35"/>
  <c r="AA39" i="35"/>
  <c r="AB7" i="35"/>
  <c r="AB66" i="35"/>
  <c r="AA28" i="35"/>
  <c r="AA23" i="35"/>
  <c r="AA66" i="35"/>
  <c r="AA50" i="35"/>
  <c r="AA55" i="35"/>
  <c r="AA9" i="35"/>
  <c r="Z56" i="35"/>
  <c r="W72" i="35"/>
  <c r="X62" i="35"/>
  <c r="X68" i="35"/>
  <c r="X63" i="35"/>
  <c r="X69" i="35"/>
  <c r="Y58" i="35"/>
  <c r="Z29" i="35"/>
  <c r="Z31" i="35"/>
  <c r="Z35" i="35"/>
  <c r="Z41" i="35"/>
  <c r="Y36" i="35"/>
  <c r="Y42" i="35"/>
  <c r="Y45" i="35"/>
  <c r="X45" i="35"/>
  <c r="AA9" i="33"/>
  <c r="AB7" i="33"/>
  <c r="AL9" i="41"/>
  <c r="AM7" i="41"/>
  <c r="AB55" i="35"/>
  <c r="AB40" i="35"/>
  <c r="AB39" i="35"/>
  <c r="AB67" i="35"/>
  <c r="AB23" i="35"/>
  <c r="AC7" i="35"/>
  <c r="AB28" i="35"/>
  <c r="AB9" i="35"/>
  <c r="AB50" i="35"/>
  <c r="AA56" i="35"/>
  <c r="X72" i="35"/>
  <c r="Y62" i="35"/>
  <c r="Y68" i="35"/>
  <c r="Y63" i="35"/>
  <c r="Y69" i="35"/>
  <c r="Z58" i="35"/>
  <c r="Z36" i="35"/>
  <c r="Z42" i="35"/>
  <c r="Z45" i="35"/>
  <c r="AA29" i="35"/>
  <c r="AA31" i="35"/>
  <c r="AA35" i="35"/>
  <c r="AA41" i="35"/>
  <c r="AB9" i="33"/>
  <c r="AC7" i="33"/>
  <c r="AM9" i="41"/>
  <c r="AN7" i="41"/>
  <c r="AC40" i="35"/>
  <c r="AC39" i="35"/>
  <c r="AC67" i="35"/>
  <c r="AC50" i="35"/>
  <c r="AC66" i="35"/>
  <c r="AD7" i="35"/>
  <c r="AC23" i="35"/>
  <c r="AC55" i="35"/>
  <c r="AC9" i="35"/>
  <c r="AC28" i="35"/>
  <c r="AB56" i="35"/>
  <c r="Y72" i="35"/>
  <c r="Z62" i="35"/>
  <c r="Z68" i="35"/>
  <c r="Z63" i="35"/>
  <c r="Z69" i="35"/>
  <c r="AA58" i="35"/>
  <c r="AA36" i="35"/>
  <c r="AA42" i="35"/>
  <c r="AA45" i="35"/>
  <c r="AB29" i="35"/>
  <c r="AB31" i="35"/>
  <c r="AB35" i="35"/>
  <c r="AB41" i="35"/>
  <c r="AD7" i="33"/>
  <c r="AC9" i="33"/>
  <c r="AO7" i="41"/>
  <c r="AN9" i="41"/>
  <c r="AD50" i="35"/>
  <c r="AD39" i="35"/>
  <c r="AD40" i="35"/>
  <c r="AD66" i="35"/>
  <c r="AD67" i="35"/>
  <c r="AD28" i="35"/>
  <c r="AD23" i="35"/>
  <c r="AD9" i="35"/>
  <c r="AD55" i="35"/>
  <c r="AE7" i="35"/>
  <c r="AC56" i="35"/>
  <c r="Z72" i="35"/>
  <c r="AA62" i="35"/>
  <c r="AA68" i="35"/>
  <c r="AA63" i="35"/>
  <c r="AA69" i="35"/>
  <c r="AB58" i="35"/>
  <c r="AC29" i="35"/>
  <c r="AC31" i="35"/>
  <c r="AC35" i="35"/>
  <c r="AC41" i="35"/>
  <c r="AB36" i="35"/>
  <c r="AB42" i="35"/>
  <c r="AB45" i="35"/>
  <c r="AE7" i="33"/>
  <c r="AD9" i="33"/>
  <c r="AP7" i="41"/>
  <c r="AO9" i="41"/>
  <c r="AE50" i="35"/>
  <c r="AE39" i="35"/>
  <c r="AE40" i="35"/>
  <c r="AE23" i="35"/>
  <c r="AD56" i="35"/>
  <c r="AE55" i="35"/>
  <c r="AF7" i="35"/>
  <c r="AE66" i="35"/>
  <c r="AE9" i="35"/>
  <c r="AE67" i="35"/>
  <c r="AE28" i="35"/>
  <c r="AA72" i="35"/>
  <c r="AB63" i="35"/>
  <c r="AB69" i="35"/>
  <c r="AB62" i="35"/>
  <c r="AB68" i="35"/>
  <c r="AC36" i="35"/>
  <c r="AC42" i="35"/>
  <c r="AC45" i="35"/>
  <c r="AD29" i="35"/>
  <c r="AD31" i="35"/>
  <c r="AD36" i="35"/>
  <c r="AD42" i="35"/>
  <c r="AC58" i="35"/>
  <c r="AF7" i="33"/>
  <c r="AE9" i="33"/>
  <c r="AQ7" i="41"/>
  <c r="AP9" i="41"/>
  <c r="AF39" i="35"/>
  <c r="AF40" i="35"/>
  <c r="AE56" i="35"/>
  <c r="AF28" i="35"/>
  <c r="AF23" i="35"/>
  <c r="AF55" i="35"/>
  <c r="AG7" i="35"/>
  <c r="AF67" i="35"/>
  <c r="AF50" i="35"/>
  <c r="AF66" i="35"/>
  <c r="AF9" i="35"/>
  <c r="AB72" i="35"/>
  <c r="AC63" i="35"/>
  <c r="AC69" i="35"/>
  <c r="AC62" i="35"/>
  <c r="AC68" i="35"/>
  <c r="AE29" i="35"/>
  <c r="AE31" i="35"/>
  <c r="AE35" i="35"/>
  <c r="AE41" i="35"/>
  <c r="AD35" i="35"/>
  <c r="AD41" i="35"/>
  <c r="AD45" i="35"/>
  <c r="AD58" i="35"/>
  <c r="AF9" i="33"/>
  <c r="AG7" i="33"/>
  <c r="AR7" i="41"/>
  <c r="AQ9" i="41"/>
  <c r="AG55" i="35"/>
  <c r="AG39" i="35"/>
  <c r="AG40" i="35"/>
  <c r="AG66" i="35"/>
  <c r="AG23" i="35"/>
  <c r="AG28" i="35"/>
  <c r="AG67" i="35"/>
  <c r="AF56" i="35"/>
  <c r="AG9" i="35"/>
  <c r="AG50" i="35"/>
  <c r="AH7" i="35"/>
  <c r="AC72" i="35"/>
  <c r="AD62" i="35"/>
  <c r="AD68" i="35"/>
  <c r="AD63" i="35"/>
  <c r="AD69" i="35"/>
  <c r="AE36" i="35"/>
  <c r="AE42" i="35"/>
  <c r="AE45" i="35"/>
  <c r="AF29" i="35"/>
  <c r="AF31" i="35"/>
  <c r="AF35" i="35"/>
  <c r="AF41" i="35"/>
  <c r="AE58" i="35"/>
  <c r="AG9" i="33"/>
  <c r="AH7" i="33"/>
  <c r="AR9" i="41"/>
  <c r="AG56" i="35"/>
  <c r="AH50" i="35"/>
  <c r="AH40" i="35"/>
  <c r="AH39" i="35"/>
  <c r="AH55" i="35"/>
  <c r="AH28" i="35"/>
  <c r="AH23" i="35"/>
  <c r="AH9" i="35"/>
  <c r="AH67" i="35"/>
  <c r="AH66" i="35"/>
  <c r="AI7" i="35"/>
  <c r="AE62" i="35"/>
  <c r="AE68" i="35"/>
  <c r="AE63" i="35"/>
  <c r="AE69" i="35"/>
  <c r="AD72" i="35"/>
  <c r="AF36" i="35"/>
  <c r="AF42" i="35"/>
  <c r="AF45" i="35"/>
  <c r="AG29" i="35"/>
  <c r="AG31" i="35"/>
  <c r="AG35" i="35"/>
  <c r="AG41" i="35"/>
  <c r="AF58" i="35"/>
  <c r="AH9" i="33"/>
  <c r="AI7" i="33"/>
  <c r="AH56" i="35"/>
  <c r="AI55" i="35"/>
  <c r="AI40" i="35"/>
  <c r="AI39" i="35"/>
  <c r="AI9" i="35"/>
  <c r="AI23" i="35"/>
  <c r="AI50" i="35"/>
  <c r="AI28" i="35"/>
  <c r="AI66" i="35"/>
  <c r="AI67" i="35"/>
  <c r="AJ7" i="35"/>
  <c r="AF62" i="35"/>
  <c r="AF68" i="35"/>
  <c r="AF63" i="35"/>
  <c r="AF69" i="35"/>
  <c r="AE72" i="35"/>
  <c r="AH29" i="35"/>
  <c r="AH31" i="35"/>
  <c r="AH35" i="35"/>
  <c r="AH41" i="35"/>
  <c r="AG36" i="35"/>
  <c r="AG42" i="35"/>
  <c r="AG45" i="35"/>
  <c r="AG58" i="35"/>
  <c r="AI9" i="33"/>
  <c r="AJ7" i="33"/>
  <c r="AI56" i="35"/>
  <c r="AJ23" i="35"/>
  <c r="AJ39" i="35"/>
  <c r="AJ40" i="35"/>
  <c r="AJ9" i="35"/>
  <c r="AJ28" i="35"/>
  <c r="AJ50" i="35"/>
  <c r="AJ55" i="35"/>
  <c r="AJ66" i="35"/>
  <c r="AK7" i="35"/>
  <c r="AJ67" i="35"/>
  <c r="AH36" i="35"/>
  <c r="AH42" i="35"/>
  <c r="AH45" i="35"/>
  <c r="AI29" i="35"/>
  <c r="AI31" i="35"/>
  <c r="AI36" i="35"/>
  <c r="AI42" i="35"/>
  <c r="AG62" i="35"/>
  <c r="AG68" i="35"/>
  <c r="AG63" i="35"/>
  <c r="AG69" i="35"/>
  <c r="AF72" i="35"/>
  <c r="AH58" i="35"/>
  <c r="AK7" i="33"/>
  <c r="AJ9" i="33"/>
  <c r="AK50" i="35"/>
  <c r="AK39" i="35"/>
  <c r="AK40" i="35"/>
  <c r="AJ56" i="35"/>
  <c r="AK23" i="35"/>
  <c r="AK67" i="35"/>
  <c r="AK9" i="35"/>
  <c r="AK66" i="35"/>
  <c r="AL7" i="35"/>
  <c r="AK55" i="35"/>
  <c r="AK28" i="35"/>
  <c r="AJ29" i="35"/>
  <c r="AJ31" i="35"/>
  <c r="AJ35" i="35"/>
  <c r="AJ41" i="35"/>
  <c r="AI35" i="35"/>
  <c r="AI41" i="35"/>
  <c r="AI45" i="35"/>
  <c r="AG72" i="35"/>
  <c r="AH63" i="35"/>
  <c r="AH69" i="35"/>
  <c r="AH62" i="35"/>
  <c r="AH68" i="35"/>
  <c r="AI58" i="35"/>
  <c r="AL7" i="33"/>
  <c r="AK9" i="33"/>
  <c r="AK56" i="35"/>
  <c r="AL39" i="35"/>
  <c r="AL40" i="35"/>
  <c r="AL67" i="35"/>
  <c r="AM7" i="35"/>
  <c r="AM28" i="35"/>
  <c r="AL50" i="35"/>
  <c r="AL9" i="35"/>
  <c r="AL66" i="35"/>
  <c r="AL28" i="35"/>
  <c r="AL23" i="35"/>
  <c r="AL55" i="35"/>
  <c r="AK29" i="35"/>
  <c r="AK31" i="35"/>
  <c r="AK36" i="35"/>
  <c r="AK42" i="35"/>
  <c r="AJ36" i="35"/>
  <c r="AJ42" i="35"/>
  <c r="AJ45" i="35"/>
  <c r="AH72" i="35"/>
  <c r="AI62" i="35"/>
  <c r="AI68" i="35"/>
  <c r="AI63" i="35"/>
  <c r="AI69" i="35"/>
  <c r="AJ58" i="35"/>
  <c r="AM7" i="33"/>
  <c r="AL9" i="33"/>
  <c r="AM66" i="35"/>
  <c r="AM39" i="35"/>
  <c r="AM40" i="35"/>
  <c r="AM50" i="35"/>
  <c r="AM23" i="35"/>
  <c r="AM67" i="35"/>
  <c r="AM9" i="35"/>
  <c r="AN7" i="35"/>
  <c r="AL56" i="35"/>
  <c r="AM55" i="35"/>
  <c r="AL29" i="35"/>
  <c r="AL31" i="35"/>
  <c r="AL35" i="35"/>
  <c r="AL41" i="35"/>
  <c r="AK35" i="35"/>
  <c r="AK41" i="35"/>
  <c r="AK45" i="35"/>
  <c r="AI72" i="35"/>
  <c r="AJ62" i="35"/>
  <c r="AJ68" i="35"/>
  <c r="AJ63" i="35"/>
  <c r="AJ69" i="35"/>
  <c r="AK58" i="35"/>
  <c r="AN7" i="33"/>
  <c r="AM9" i="33"/>
  <c r="AM56" i="35"/>
  <c r="AN67" i="35"/>
  <c r="AN39" i="35"/>
  <c r="AN40" i="35"/>
  <c r="AO7" i="35"/>
  <c r="AN28" i="35"/>
  <c r="AN23" i="35"/>
  <c r="AN66" i="35"/>
  <c r="AN50" i="35"/>
  <c r="AN55" i="35"/>
  <c r="AN9" i="35"/>
  <c r="AL36" i="35"/>
  <c r="AL42" i="35"/>
  <c r="AL45" i="35"/>
  <c r="AM29" i="35"/>
  <c r="AM31" i="35"/>
  <c r="AM36" i="35"/>
  <c r="AM42" i="35"/>
  <c r="AJ72" i="35"/>
  <c r="AK63" i="35"/>
  <c r="AK69" i="35"/>
  <c r="AK62" i="35"/>
  <c r="AK68" i="35"/>
  <c r="AL58" i="35"/>
  <c r="AO7" i="33"/>
  <c r="AN9" i="33"/>
  <c r="AN56" i="35"/>
  <c r="AO67" i="35"/>
  <c r="AO39" i="35"/>
  <c r="AO40" i="35"/>
  <c r="AO28" i="35"/>
  <c r="AO66" i="35"/>
  <c r="AO9" i="35"/>
  <c r="AO50" i="35"/>
  <c r="AP7" i="35"/>
  <c r="AO55" i="35"/>
  <c r="AO23" i="35"/>
  <c r="AM35" i="35"/>
  <c r="AM41" i="35"/>
  <c r="AM45" i="35"/>
  <c r="AN29" i="35"/>
  <c r="AN31" i="35"/>
  <c r="AN35" i="35"/>
  <c r="AN41" i="35"/>
  <c r="AL62" i="35"/>
  <c r="AL68" i="35"/>
  <c r="AL63" i="35"/>
  <c r="AL69" i="35"/>
  <c r="AK72" i="35"/>
  <c r="AM58" i="35"/>
  <c r="AO9" i="33"/>
  <c r="AP7" i="33"/>
  <c r="AO56" i="35"/>
  <c r="AP39" i="35"/>
  <c r="AP40" i="35"/>
  <c r="AQ7" i="35"/>
  <c r="AQ67" i="35"/>
  <c r="AP28" i="35"/>
  <c r="AP50" i="35"/>
  <c r="AP9" i="35"/>
  <c r="AP55" i="35"/>
  <c r="AP23" i="35"/>
  <c r="AP66" i="35"/>
  <c r="AP67" i="35"/>
  <c r="AN36" i="35"/>
  <c r="AN42" i="35"/>
  <c r="AN45" i="35"/>
  <c r="AO29" i="35"/>
  <c r="AO31" i="35"/>
  <c r="AO35" i="35"/>
  <c r="AO41" i="35"/>
  <c r="AM62" i="35"/>
  <c r="AM68" i="35"/>
  <c r="AM63" i="35"/>
  <c r="AM69" i="35"/>
  <c r="AL72" i="35"/>
  <c r="AN58" i="35"/>
  <c r="AP9" i="33"/>
  <c r="AQ7" i="33"/>
  <c r="AQ23" i="35"/>
  <c r="AQ9" i="35"/>
  <c r="AQ28" i="35"/>
  <c r="AQ66" i="35"/>
  <c r="AQ55" i="35"/>
  <c r="AQ40" i="35"/>
  <c r="AQ39" i="35"/>
  <c r="AR7" i="35"/>
  <c r="AQ50" i="35"/>
  <c r="AP56" i="35"/>
  <c r="AO36" i="35"/>
  <c r="AO42" i="35"/>
  <c r="AO45" i="35"/>
  <c r="AP29" i="35"/>
  <c r="AP31" i="35"/>
  <c r="AP35" i="35"/>
  <c r="AP41" i="35"/>
  <c r="AM72" i="35"/>
  <c r="AN62" i="35"/>
  <c r="AN68" i="35"/>
  <c r="AN63" i="35"/>
  <c r="AN69" i="35"/>
  <c r="AO58" i="35"/>
  <c r="AR7" i="33"/>
  <c r="AQ9" i="33"/>
  <c r="AQ56" i="35"/>
  <c r="AR40" i="35"/>
  <c r="AR39" i="35"/>
  <c r="AR9" i="35"/>
  <c r="AR55" i="35"/>
  <c r="AR50" i="35"/>
  <c r="AR28" i="35"/>
  <c r="AR23" i="35"/>
  <c r="AR67" i="35"/>
  <c r="AR66" i="35"/>
  <c r="AQ29" i="35"/>
  <c r="AQ31" i="35"/>
  <c r="AQ35" i="35"/>
  <c r="AQ41" i="35"/>
  <c r="AP36" i="35"/>
  <c r="AP42" i="35"/>
  <c r="AP45" i="35"/>
  <c r="AN72" i="35"/>
  <c r="AO63" i="35"/>
  <c r="AO69" i="35"/>
  <c r="AO62" i="35"/>
  <c r="AO68" i="35"/>
  <c r="AP58" i="35"/>
  <c r="AR9" i="33"/>
  <c r="AR56" i="35"/>
  <c r="AR29" i="35"/>
  <c r="AR31" i="35"/>
  <c r="AR35" i="35"/>
  <c r="AQ36" i="35"/>
  <c r="AQ42" i="35"/>
  <c r="AQ45" i="35"/>
  <c r="AP62" i="35"/>
  <c r="AP68" i="35"/>
  <c r="AP63" i="35"/>
  <c r="AP69" i="35"/>
  <c r="AO72" i="35"/>
  <c r="AQ58" i="35"/>
  <c r="D29" i="35"/>
  <c r="AR36" i="35"/>
  <c r="AR42" i="35"/>
  <c r="D42" i="35"/>
  <c r="AQ62" i="35"/>
  <c r="AQ68" i="35"/>
  <c r="AQ63" i="35"/>
  <c r="AQ69" i="35"/>
  <c r="AP72" i="35"/>
  <c r="AR58" i="35"/>
  <c r="D56" i="35"/>
  <c r="D35" i="35"/>
  <c r="AR41" i="35"/>
  <c r="D31" i="35"/>
  <c r="D36" i="35"/>
  <c r="AR62" i="35"/>
  <c r="AR63" i="35"/>
  <c r="AQ72" i="35"/>
  <c r="D58" i="35"/>
  <c r="AR45" i="35"/>
  <c r="D41" i="35"/>
  <c r="D48" i="29"/>
  <c r="D86" i="29"/>
  <c r="D69" i="29"/>
  <c r="D31" i="29"/>
  <c r="D90" i="29"/>
  <c r="D85" i="29"/>
  <c r="D68" i="29"/>
  <c r="D52" i="29"/>
  <c r="D47" i="29"/>
  <c r="D30" i="29"/>
  <c r="D17" i="29"/>
  <c r="D16" i="29"/>
  <c r="D15" i="29"/>
  <c r="F8" i="29"/>
  <c r="G8" i="29"/>
  <c r="H8" i="29"/>
  <c r="I8" i="29"/>
  <c r="J8" i="29"/>
  <c r="K8" i="29"/>
  <c r="L8" i="29"/>
  <c r="M8" i="29"/>
  <c r="N8" i="29"/>
  <c r="O8" i="29"/>
  <c r="P8" i="29"/>
  <c r="Q8" i="29"/>
  <c r="R8" i="29"/>
  <c r="S8" i="29"/>
  <c r="T8" i="29"/>
  <c r="U8" i="29"/>
  <c r="V8" i="29"/>
  <c r="W8" i="29"/>
  <c r="X8" i="29"/>
  <c r="Y8" i="29"/>
  <c r="Z8" i="29"/>
  <c r="AA8" i="29"/>
  <c r="AB8" i="29"/>
  <c r="AC8" i="29"/>
  <c r="AD8" i="29"/>
  <c r="AE8" i="29"/>
  <c r="AF8" i="29"/>
  <c r="AG8" i="29"/>
  <c r="AH8" i="29"/>
  <c r="AI8" i="29"/>
  <c r="AJ8" i="29"/>
  <c r="AK8" i="29"/>
  <c r="AL8" i="29"/>
  <c r="AM8" i="29"/>
  <c r="AN8" i="29"/>
  <c r="AO8" i="29"/>
  <c r="AP8" i="29"/>
  <c r="AQ8" i="29"/>
  <c r="AR8" i="29"/>
  <c r="F7" i="29"/>
  <c r="F9" i="29"/>
  <c r="A4" i="29"/>
  <c r="A1" i="29"/>
  <c r="AR68" i="35"/>
  <c r="D62" i="35"/>
  <c r="AR69" i="35"/>
  <c r="D69" i="35"/>
  <c r="D63" i="35"/>
  <c r="D45" i="35"/>
  <c r="F78" i="29"/>
  <c r="F83" i="29"/>
  <c r="F66" i="29"/>
  <c r="F61" i="29"/>
  <c r="D65" i="29"/>
  <c r="D82" i="29"/>
  <c r="F73" i="29"/>
  <c r="F90" i="29"/>
  <c r="F40" i="29"/>
  <c r="F52" i="29"/>
  <c r="F45" i="29"/>
  <c r="F23" i="29"/>
  <c r="D44" i="29"/>
  <c r="F35" i="29"/>
  <c r="D27" i="29"/>
  <c r="F28" i="29"/>
  <c r="G7" i="29"/>
  <c r="G66" i="29"/>
  <c r="D68" i="35"/>
  <c r="AR72" i="35"/>
  <c r="D72" i="35"/>
  <c r="F84" i="29"/>
  <c r="F87" i="29"/>
  <c r="F91" i="29"/>
  <c r="G78" i="29"/>
  <c r="G61" i="29"/>
  <c r="G83" i="29"/>
  <c r="F67" i="29"/>
  <c r="G73" i="29"/>
  <c r="G90" i="29"/>
  <c r="F46" i="29"/>
  <c r="G35" i="29"/>
  <c r="G23" i="29"/>
  <c r="G45" i="29"/>
  <c r="G52" i="29"/>
  <c r="G40" i="29"/>
  <c r="F29" i="29"/>
  <c r="F32" i="29"/>
  <c r="F36" i="29"/>
  <c r="H7" i="29"/>
  <c r="G9" i="29"/>
  <c r="G28" i="29"/>
  <c r="G84" i="29"/>
  <c r="H61" i="29"/>
  <c r="H83" i="29"/>
  <c r="H66" i="29"/>
  <c r="H78" i="29"/>
  <c r="F49" i="29"/>
  <c r="F53" i="29"/>
  <c r="F56" i="29"/>
  <c r="G67" i="29"/>
  <c r="F70" i="29"/>
  <c r="F74" i="29"/>
  <c r="F94" i="29"/>
  <c r="H73" i="29"/>
  <c r="H90" i="29"/>
  <c r="G46" i="29"/>
  <c r="H35" i="29"/>
  <c r="H45" i="29"/>
  <c r="H52" i="29"/>
  <c r="H40" i="29"/>
  <c r="H23" i="29"/>
  <c r="G29" i="29"/>
  <c r="G32" i="29"/>
  <c r="G36" i="29"/>
  <c r="H28" i="29"/>
  <c r="I7" i="29"/>
  <c r="H9" i="29"/>
  <c r="H84" i="29"/>
  <c r="H87" i="29"/>
  <c r="H91" i="29"/>
  <c r="G87" i="29"/>
  <c r="G91" i="29"/>
  <c r="I66" i="29"/>
  <c r="I61" i="29"/>
  <c r="I83" i="29"/>
  <c r="I78" i="29"/>
  <c r="H67" i="29"/>
  <c r="G70" i="29"/>
  <c r="G74" i="29"/>
  <c r="G49" i="29"/>
  <c r="G53" i="29"/>
  <c r="G56" i="29"/>
  <c r="I90" i="29"/>
  <c r="I73" i="29"/>
  <c r="H46" i="29"/>
  <c r="I45" i="29"/>
  <c r="I23" i="29"/>
  <c r="I52" i="29"/>
  <c r="I40" i="29"/>
  <c r="I35" i="29"/>
  <c r="H29" i="29"/>
  <c r="H32" i="29"/>
  <c r="H36" i="29"/>
  <c r="J7" i="29"/>
  <c r="I28" i="29"/>
  <c r="I9" i="29"/>
  <c r="G94" i="29"/>
  <c r="I84" i="29"/>
  <c r="I87" i="29"/>
  <c r="I91" i="29"/>
  <c r="J66" i="29"/>
  <c r="J61" i="29"/>
  <c r="J83" i="29"/>
  <c r="J78" i="29"/>
  <c r="H49" i="29"/>
  <c r="H53" i="29"/>
  <c r="H56" i="29"/>
  <c r="I67" i="29"/>
  <c r="H70" i="29"/>
  <c r="H74" i="29"/>
  <c r="H94" i="29"/>
  <c r="J90" i="29"/>
  <c r="J73" i="29"/>
  <c r="I46" i="29"/>
  <c r="J35" i="29"/>
  <c r="J45" i="29"/>
  <c r="J23" i="29"/>
  <c r="J52" i="29"/>
  <c r="J40" i="29"/>
  <c r="I29" i="29"/>
  <c r="I32" i="29"/>
  <c r="I36" i="29"/>
  <c r="K7" i="29"/>
  <c r="J28" i="29"/>
  <c r="J9" i="29"/>
  <c r="P80" i="26"/>
  <c r="Q80" i="26"/>
  <c r="R80" i="26"/>
  <c r="S80" i="26"/>
  <c r="T80" i="26"/>
  <c r="U80" i="26"/>
  <c r="V80" i="26"/>
  <c r="W80" i="26"/>
  <c r="X80" i="26"/>
  <c r="Y80" i="26"/>
  <c r="Z80" i="26"/>
  <c r="AA80" i="26"/>
  <c r="AB80" i="26"/>
  <c r="AC80" i="26"/>
  <c r="AD80" i="26"/>
  <c r="AE80" i="26"/>
  <c r="AF80" i="26"/>
  <c r="AG80" i="26"/>
  <c r="AH80" i="26"/>
  <c r="D36" i="28"/>
  <c r="B29" i="28"/>
  <c r="D17" i="28"/>
  <c r="D16" i="28"/>
  <c r="D15" i="28"/>
  <c r="F8" i="28"/>
  <c r="G8" i="28"/>
  <c r="H8" i="28"/>
  <c r="I8" i="28"/>
  <c r="J8" i="28"/>
  <c r="K8" i="28"/>
  <c r="L8" i="28"/>
  <c r="M8" i="28"/>
  <c r="N8" i="28"/>
  <c r="O8" i="28"/>
  <c r="P8" i="28"/>
  <c r="Q8" i="28"/>
  <c r="R8" i="28"/>
  <c r="S8" i="28"/>
  <c r="T8" i="28"/>
  <c r="U8" i="28"/>
  <c r="V8" i="28"/>
  <c r="W8" i="28"/>
  <c r="X8" i="28"/>
  <c r="Y8" i="28"/>
  <c r="Z8" i="28"/>
  <c r="AA8" i="28"/>
  <c r="AB8" i="28"/>
  <c r="AC8" i="28"/>
  <c r="AD8" i="28"/>
  <c r="AE8" i="28"/>
  <c r="AF8" i="28"/>
  <c r="AG8" i="28"/>
  <c r="AH8" i="28"/>
  <c r="AI8" i="28"/>
  <c r="AJ8" i="28"/>
  <c r="AK8" i="28"/>
  <c r="AL8" i="28"/>
  <c r="AM8" i="28"/>
  <c r="AN8" i="28"/>
  <c r="AO8" i="28"/>
  <c r="AP8" i="28"/>
  <c r="AQ8" i="28"/>
  <c r="AR8" i="28"/>
  <c r="F7" i="28"/>
  <c r="A4" i="28"/>
  <c r="A1" i="28"/>
  <c r="D85" i="26"/>
  <c r="D97" i="26"/>
  <c r="D60" i="26"/>
  <c r="B95" i="26"/>
  <c r="D91" i="26"/>
  <c r="B89" i="26"/>
  <c r="B51" i="26"/>
  <c r="B58" i="26"/>
  <c r="D81" i="26"/>
  <c r="D80" i="26"/>
  <c r="D35" i="26"/>
  <c r="D34" i="26"/>
  <c r="D17" i="26"/>
  <c r="D16" i="26"/>
  <c r="D15" i="26"/>
  <c r="F8" i="26"/>
  <c r="G8" i="26"/>
  <c r="H8" i="26"/>
  <c r="I8" i="26"/>
  <c r="J8" i="26"/>
  <c r="K8" i="26"/>
  <c r="L8" i="26"/>
  <c r="M8" i="26"/>
  <c r="N8" i="26"/>
  <c r="O8" i="26"/>
  <c r="P8" i="26"/>
  <c r="Q8" i="26"/>
  <c r="R8" i="26"/>
  <c r="S8" i="26"/>
  <c r="T8" i="26"/>
  <c r="U8" i="26"/>
  <c r="V8" i="26"/>
  <c r="W8" i="26"/>
  <c r="X8" i="26"/>
  <c r="Y8" i="26"/>
  <c r="Z8" i="26"/>
  <c r="AA8" i="26"/>
  <c r="AB8" i="26"/>
  <c r="AC8" i="26"/>
  <c r="AD8" i="26"/>
  <c r="AE8" i="26"/>
  <c r="AF8" i="26"/>
  <c r="AG8" i="26"/>
  <c r="AH8" i="26"/>
  <c r="AI8" i="26"/>
  <c r="AJ8" i="26"/>
  <c r="AK8" i="26"/>
  <c r="AL8" i="26"/>
  <c r="AM8" i="26"/>
  <c r="AN8" i="26"/>
  <c r="AO8" i="26"/>
  <c r="AP8" i="26"/>
  <c r="AQ8" i="26"/>
  <c r="AR8" i="26"/>
  <c r="F7" i="26"/>
  <c r="G7" i="26"/>
  <c r="A4" i="26"/>
  <c r="A1" i="26"/>
  <c r="J84" i="29"/>
  <c r="J87" i="29"/>
  <c r="J91" i="29"/>
  <c r="K66" i="29"/>
  <c r="K83" i="29"/>
  <c r="K78" i="29"/>
  <c r="K61" i="29"/>
  <c r="J67" i="29"/>
  <c r="I70" i="29"/>
  <c r="I74" i="29"/>
  <c r="I94" i="29"/>
  <c r="I49" i="29"/>
  <c r="I53" i="29"/>
  <c r="I56" i="29"/>
  <c r="K90" i="29"/>
  <c r="K73" i="29"/>
  <c r="J46" i="29"/>
  <c r="K35" i="29"/>
  <c r="K23" i="29"/>
  <c r="K52" i="29"/>
  <c r="K40" i="29"/>
  <c r="K45" i="29"/>
  <c r="J29" i="29"/>
  <c r="J32" i="29"/>
  <c r="J36" i="29"/>
  <c r="K9" i="29"/>
  <c r="K28" i="29"/>
  <c r="L7" i="29"/>
  <c r="D90" i="26"/>
  <c r="D92" i="26"/>
  <c r="F9" i="28"/>
  <c r="G7" i="28"/>
  <c r="D54" i="26"/>
  <c r="G76" i="26"/>
  <c r="G71" i="26"/>
  <c r="F71" i="26"/>
  <c r="F76" i="26"/>
  <c r="D75" i="26"/>
  <c r="G29" i="26"/>
  <c r="D28" i="26"/>
  <c r="F24" i="26"/>
  <c r="G24" i="26"/>
  <c r="F29" i="26"/>
  <c r="F9" i="26"/>
  <c r="H7" i="26"/>
  <c r="G9" i="26"/>
  <c r="K84" i="29"/>
  <c r="K87" i="29"/>
  <c r="K91" i="29"/>
  <c r="L78" i="29"/>
  <c r="L61" i="29"/>
  <c r="L83" i="29"/>
  <c r="L66" i="29"/>
  <c r="J49" i="29"/>
  <c r="J53" i="29"/>
  <c r="J56" i="29"/>
  <c r="K67" i="29"/>
  <c r="J70" i="29"/>
  <c r="J74" i="29"/>
  <c r="J94" i="29"/>
  <c r="L73" i="29"/>
  <c r="L90" i="29"/>
  <c r="K46" i="29"/>
  <c r="L35" i="29"/>
  <c r="L52" i="29"/>
  <c r="L40" i="29"/>
  <c r="L23" i="29"/>
  <c r="L45" i="29"/>
  <c r="K29" i="29"/>
  <c r="K32" i="29"/>
  <c r="K36" i="29"/>
  <c r="L28" i="29"/>
  <c r="L9" i="29"/>
  <c r="M7" i="29"/>
  <c r="H7" i="28"/>
  <c r="G9" i="28"/>
  <c r="F77" i="26"/>
  <c r="H76" i="26"/>
  <c r="H71" i="26"/>
  <c r="H24" i="26"/>
  <c r="H29" i="26"/>
  <c r="F30" i="26"/>
  <c r="F43" i="26"/>
  <c r="H9" i="26"/>
  <c r="I7" i="26"/>
  <c r="G77" i="26"/>
  <c r="G84" i="26"/>
  <c r="G86" i="26"/>
  <c r="F37" i="26"/>
  <c r="F46" i="26"/>
  <c r="F48" i="26"/>
  <c r="L84" i="29"/>
  <c r="L87" i="29"/>
  <c r="M66" i="29"/>
  <c r="M78" i="29"/>
  <c r="M61" i="29"/>
  <c r="M83" i="29"/>
  <c r="L67" i="29"/>
  <c r="K70" i="29"/>
  <c r="K74" i="29"/>
  <c r="K94" i="29"/>
  <c r="K49" i="29"/>
  <c r="K53" i="29"/>
  <c r="K56" i="29"/>
  <c r="M73" i="29"/>
  <c r="M90" i="29"/>
  <c r="L46" i="29"/>
  <c r="M35" i="29"/>
  <c r="M52" i="29"/>
  <c r="M40" i="29"/>
  <c r="M23" i="29"/>
  <c r="M45" i="29"/>
  <c r="L29" i="29"/>
  <c r="L32" i="29"/>
  <c r="L36" i="29"/>
  <c r="M28" i="29"/>
  <c r="M9" i="29"/>
  <c r="N7" i="29"/>
  <c r="I7" i="28"/>
  <c r="H9" i="28"/>
  <c r="F84" i="26"/>
  <c r="F86" i="26"/>
  <c r="I71" i="26"/>
  <c r="I76" i="26"/>
  <c r="I24" i="26"/>
  <c r="I29" i="26"/>
  <c r="G30" i="26"/>
  <c r="G43" i="26"/>
  <c r="J7" i="26"/>
  <c r="I9" i="26"/>
  <c r="H77" i="26"/>
  <c r="H84" i="26"/>
  <c r="H86" i="26"/>
  <c r="G37" i="26"/>
  <c r="G46" i="26"/>
  <c r="G48" i="26"/>
  <c r="M84" i="29"/>
  <c r="M87" i="29"/>
  <c r="M91" i="29"/>
  <c r="N83" i="29"/>
  <c r="N66" i="29"/>
  <c r="N61" i="29"/>
  <c r="N78" i="29"/>
  <c r="L49" i="29"/>
  <c r="L53" i="29"/>
  <c r="L56" i="29"/>
  <c r="M67" i="29"/>
  <c r="L70" i="29"/>
  <c r="L74" i="29"/>
  <c r="L91" i="29"/>
  <c r="N73" i="29"/>
  <c r="N90" i="29"/>
  <c r="M46" i="29"/>
  <c r="N35" i="29"/>
  <c r="N52" i="29"/>
  <c r="N45" i="29"/>
  <c r="N40" i="29"/>
  <c r="N23" i="29"/>
  <c r="M29" i="29"/>
  <c r="M32" i="29"/>
  <c r="M36" i="29"/>
  <c r="N28" i="29"/>
  <c r="O7" i="29"/>
  <c r="N9" i="29"/>
  <c r="J7" i="28"/>
  <c r="I9" i="28"/>
  <c r="J71" i="26"/>
  <c r="J76" i="26"/>
  <c r="H30" i="26"/>
  <c r="H43" i="26"/>
  <c r="J24" i="26"/>
  <c r="J29" i="26"/>
  <c r="J9" i="26"/>
  <c r="K7" i="26"/>
  <c r="I77" i="26"/>
  <c r="J77" i="26"/>
  <c r="H37" i="26"/>
  <c r="H46" i="26"/>
  <c r="H48" i="26"/>
  <c r="N84" i="29"/>
  <c r="N87" i="29"/>
  <c r="N91" i="29"/>
  <c r="L94" i="29"/>
  <c r="O66" i="29"/>
  <c r="O78" i="29"/>
  <c r="O61" i="29"/>
  <c r="O83" i="29"/>
  <c r="N67" i="29"/>
  <c r="M70" i="29"/>
  <c r="M74" i="29"/>
  <c r="M94" i="29"/>
  <c r="M49" i="29"/>
  <c r="M53" i="29"/>
  <c r="M56" i="29"/>
  <c r="O73" i="29"/>
  <c r="O90" i="29"/>
  <c r="N46" i="29"/>
  <c r="O35" i="29"/>
  <c r="O45" i="29"/>
  <c r="O23" i="29"/>
  <c r="O52" i="29"/>
  <c r="O40" i="29"/>
  <c r="N29" i="29"/>
  <c r="N32" i="29"/>
  <c r="N36" i="29"/>
  <c r="P7" i="29"/>
  <c r="O9" i="29"/>
  <c r="O28" i="29"/>
  <c r="J9" i="28"/>
  <c r="K7" i="28"/>
  <c r="K71" i="26"/>
  <c r="K76" i="26"/>
  <c r="K24" i="26"/>
  <c r="K29" i="26"/>
  <c r="I30" i="26"/>
  <c r="I43" i="26"/>
  <c r="L7" i="26"/>
  <c r="K9" i="26"/>
  <c r="I84" i="26"/>
  <c r="I86" i="26"/>
  <c r="I37" i="26"/>
  <c r="I46" i="26"/>
  <c r="I48" i="26"/>
  <c r="O84" i="29"/>
  <c r="O87" i="29"/>
  <c r="P78" i="29"/>
  <c r="P83" i="29"/>
  <c r="P66" i="29"/>
  <c r="P61" i="29"/>
  <c r="N49" i="29"/>
  <c r="N53" i="29"/>
  <c r="N56" i="29"/>
  <c r="O67" i="29"/>
  <c r="N70" i="29"/>
  <c r="N74" i="29"/>
  <c r="N94" i="29"/>
  <c r="P73" i="29"/>
  <c r="P90" i="29"/>
  <c r="O46" i="29"/>
  <c r="P35" i="29"/>
  <c r="P45" i="29"/>
  <c r="P23" i="29"/>
  <c r="P52" i="29"/>
  <c r="P40" i="29"/>
  <c r="O29" i="29"/>
  <c r="O32" i="29"/>
  <c r="O36" i="29"/>
  <c r="P28" i="29"/>
  <c r="Q7" i="29"/>
  <c r="P9" i="29"/>
  <c r="L7" i="28"/>
  <c r="K9" i="28"/>
  <c r="L76" i="26"/>
  <c r="L71" i="26"/>
  <c r="K77" i="26"/>
  <c r="J84" i="26"/>
  <c r="J86" i="26"/>
  <c r="J30" i="26"/>
  <c r="J43" i="26"/>
  <c r="L24" i="26"/>
  <c r="L29" i="26"/>
  <c r="M7" i="26"/>
  <c r="L9" i="26"/>
  <c r="J37" i="26"/>
  <c r="J46" i="26"/>
  <c r="J48" i="26"/>
  <c r="P84" i="29"/>
  <c r="P87" i="29"/>
  <c r="Q78" i="29"/>
  <c r="Q61" i="29"/>
  <c r="Q66" i="29"/>
  <c r="Q83" i="29"/>
  <c r="P67" i="29"/>
  <c r="O70" i="29"/>
  <c r="O74" i="29"/>
  <c r="O49" i="29"/>
  <c r="O53" i="29"/>
  <c r="O56" i="29"/>
  <c r="O91" i="29"/>
  <c r="Q90" i="29"/>
  <c r="Q73" i="29"/>
  <c r="P46" i="29"/>
  <c r="Q35" i="29"/>
  <c r="Q45" i="29"/>
  <c r="Q23" i="29"/>
  <c r="Q52" i="29"/>
  <c r="Q40" i="29"/>
  <c r="P29" i="29"/>
  <c r="P32" i="29"/>
  <c r="P36" i="29"/>
  <c r="R7" i="29"/>
  <c r="Q9" i="29"/>
  <c r="Q28" i="29"/>
  <c r="L9" i="28"/>
  <c r="M7" i="28"/>
  <c r="L77" i="26"/>
  <c r="K84" i="26"/>
  <c r="K86" i="26"/>
  <c r="M71" i="26"/>
  <c r="M76" i="26"/>
  <c r="M24" i="26"/>
  <c r="M29" i="26"/>
  <c r="K30" i="26"/>
  <c r="K43" i="26"/>
  <c r="N7" i="26"/>
  <c r="M9" i="26"/>
  <c r="K37" i="26"/>
  <c r="K46" i="26"/>
  <c r="K48" i="26"/>
  <c r="Q84" i="29"/>
  <c r="Q87" i="29"/>
  <c r="R66" i="29"/>
  <c r="R78" i="29"/>
  <c r="R83" i="29"/>
  <c r="R61" i="29"/>
  <c r="P49" i="29"/>
  <c r="P53" i="29"/>
  <c r="P56" i="29"/>
  <c r="O94" i="29"/>
  <c r="Q67" i="29"/>
  <c r="P70" i="29"/>
  <c r="P74" i="29"/>
  <c r="P91" i="29"/>
  <c r="R90" i="29"/>
  <c r="R73" i="29"/>
  <c r="Q46" i="29"/>
  <c r="R35" i="29"/>
  <c r="R45" i="29"/>
  <c r="R23" i="29"/>
  <c r="R52" i="29"/>
  <c r="R40" i="29"/>
  <c r="Q29" i="29"/>
  <c r="Q32" i="29"/>
  <c r="Q36" i="29"/>
  <c r="S7" i="29"/>
  <c r="R9" i="29"/>
  <c r="R28" i="29"/>
  <c r="M9" i="28"/>
  <c r="N7" i="28"/>
  <c r="N71" i="26"/>
  <c r="N76" i="26"/>
  <c r="M77" i="26"/>
  <c r="L84" i="26"/>
  <c r="L86" i="26"/>
  <c r="L30" i="26"/>
  <c r="L43" i="26"/>
  <c r="N24" i="26"/>
  <c r="N29" i="26"/>
  <c r="N9" i="26"/>
  <c r="O7" i="26"/>
  <c r="L37" i="26"/>
  <c r="L46" i="26"/>
  <c r="L48" i="26"/>
  <c r="R84" i="29"/>
  <c r="R87" i="29"/>
  <c r="P94" i="29"/>
  <c r="S61" i="29"/>
  <c r="S78" i="29"/>
  <c r="S66" i="29"/>
  <c r="S83" i="29"/>
  <c r="Q49" i="29"/>
  <c r="Q53" i="29"/>
  <c r="Q56" i="29"/>
  <c r="R67" i="29"/>
  <c r="Q70" i="29"/>
  <c r="Q74" i="29"/>
  <c r="S90" i="29"/>
  <c r="S73" i="29"/>
  <c r="Q91" i="29"/>
  <c r="R46" i="29"/>
  <c r="S35" i="29"/>
  <c r="S23" i="29"/>
  <c r="S52" i="29"/>
  <c r="S40" i="29"/>
  <c r="S45" i="29"/>
  <c r="R29" i="29"/>
  <c r="R32" i="29"/>
  <c r="R36" i="29"/>
  <c r="S9" i="29"/>
  <c r="S28" i="29"/>
  <c r="T7" i="29"/>
  <c r="N9" i="28"/>
  <c r="O7" i="28"/>
  <c r="N77" i="26"/>
  <c r="M84" i="26"/>
  <c r="M86" i="26"/>
  <c r="O71" i="26"/>
  <c r="O76" i="26"/>
  <c r="O24" i="26"/>
  <c r="O29" i="26"/>
  <c r="M30" i="26"/>
  <c r="M43" i="26"/>
  <c r="P7" i="26"/>
  <c r="O9" i="26"/>
  <c r="M37" i="26"/>
  <c r="M46" i="26"/>
  <c r="M48" i="26"/>
  <c r="S84" i="29"/>
  <c r="S87" i="29"/>
  <c r="T61" i="29"/>
  <c r="T78" i="29"/>
  <c r="T83" i="29"/>
  <c r="T66" i="29"/>
  <c r="Q94" i="29"/>
  <c r="S67" i="29"/>
  <c r="R70" i="29"/>
  <c r="R74" i="29"/>
  <c r="R49" i="29"/>
  <c r="R53" i="29"/>
  <c r="R56" i="29"/>
  <c r="T73" i="29"/>
  <c r="T90" i="29"/>
  <c r="R91" i="29"/>
  <c r="S46" i="29"/>
  <c r="T35" i="29"/>
  <c r="T52" i="29"/>
  <c r="T40" i="29"/>
  <c r="T23" i="29"/>
  <c r="T45" i="29"/>
  <c r="S29" i="29"/>
  <c r="S32" i="29"/>
  <c r="S36" i="29"/>
  <c r="T9" i="29"/>
  <c r="T28" i="29"/>
  <c r="U7" i="29"/>
  <c r="P7" i="28"/>
  <c r="O9" i="28"/>
  <c r="P71" i="26"/>
  <c r="P76" i="26"/>
  <c r="O77" i="26"/>
  <c r="O78" i="26"/>
  <c r="O79" i="26"/>
  <c r="N84" i="26"/>
  <c r="N86" i="26"/>
  <c r="N30" i="26"/>
  <c r="N43" i="26"/>
  <c r="P24" i="26"/>
  <c r="P29" i="26"/>
  <c r="P9" i="26"/>
  <c r="Q7" i="26"/>
  <c r="O81" i="26"/>
  <c r="N37" i="26"/>
  <c r="N46" i="26"/>
  <c r="N48" i="26"/>
  <c r="T84" i="29"/>
  <c r="T87" i="29"/>
  <c r="U78" i="29"/>
  <c r="U66" i="29"/>
  <c r="U61" i="29"/>
  <c r="U83" i="29"/>
  <c r="S49" i="29"/>
  <c r="S53" i="29"/>
  <c r="S56" i="29"/>
  <c r="T67" i="29"/>
  <c r="S70" i="29"/>
  <c r="S74" i="29"/>
  <c r="R94" i="29"/>
  <c r="S91" i="29"/>
  <c r="U73" i="29"/>
  <c r="U90" i="29"/>
  <c r="T46" i="29"/>
  <c r="U35" i="29"/>
  <c r="U52" i="29"/>
  <c r="U23" i="29"/>
  <c r="U40" i="29"/>
  <c r="U45" i="29"/>
  <c r="T29" i="29"/>
  <c r="T32" i="29"/>
  <c r="T36" i="29"/>
  <c r="U9" i="29"/>
  <c r="U28" i="29"/>
  <c r="V7" i="29"/>
  <c r="Q7" i="28"/>
  <c r="P9" i="28"/>
  <c r="P77" i="26"/>
  <c r="P78" i="26"/>
  <c r="P79" i="26"/>
  <c r="O84" i="26"/>
  <c r="O86" i="26"/>
  <c r="Q71" i="26"/>
  <c r="Q76" i="26"/>
  <c r="Q24" i="26"/>
  <c r="Q29" i="26"/>
  <c r="O30" i="26"/>
  <c r="O43" i="26"/>
  <c r="R7" i="26"/>
  <c r="Q9" i="26"/>
  <c r="P81" i="26"/>
  <c r="O37" i="26"/>
  <c r="O46" i="26"/>
  <c r="O48" i="26"/>
  <c r="U84" i="29"/>
  <c r="U87" i="29"/>
  <c r="V78" i="29"/>
  <c r="V83" i="29"/>
  <c r="V61" i="29"/>
  <c r="V66" i="29"/>
  <c r="T49" i="29"/>
  <c r="T53" i="29"/>
  <c r="T56" i="29"/>
  <c r="U67" i="29"/>
  <c r="T70" i="29"/>
  <c r="T74" i="29"/>
  <c r="S94" i="29"/>
  <c r="T91" i="29"/>
  <c r="V73" i="29"/>
  <c r="V90" i="29"/>
  <c r="U46" i="29"/>
  <c r="V35" i="29"/>
  <c r="V52" i="29"/>
  <c r="V40" i="29"/>
  <c r="V45" i="29"/>
  <c r="V23" i="29"/>
  <c r="U29" i="29"/>
  <c r="U32" i="29"/>
  <c r="U36" i="29"/>
  <c r="V28" i="29"/>
  <c r="W7" i="29"/>
  <c r="V9" i="29"/>
  <c r="Q9" i="28"/>
  <c r="R7" i="28"/>
  <c r="R76" i="26"/>
  <c r="R71" i="26"/>
  <c r="Q77" i="26"/>
  <c r="Q78" i="26"/>
  <c r="Q79" i="26"/>
  <c r="P84" i="26"/>
  <c r="P86" i="26"/>
  <c r="R24" i="26"/>
  <c r="R29" i="26"/>
  <c r="P30" i="26"/>
  <c r="P43" i="26"/>
  <c r="Q81" i="26"/>
  <c r="R9" i="26"/>
  <c r="S7" i="26"/>
  <c r="P37" i="26"/>
  <c r="P46" i="26"/>
  <c r="P48" i="26"/>
  <c r="V84" i="29"/>
  <c r="W66" i="29"/>
  <c r="W78" i="29"/>
  <c r="W61" i="29"/>
  <c r="W83" i="29"/>
  <c r="T94" i="29"/>
  <c r="V67" i="29"/>
  <c r="U70" i="29"/>
  <c r="U74" i="29"/>
  <c r="U49" i="29"/>
  <c r="U53" i="29"/>
  <c r="U56" i="29"/>
  <c r="U91" i="29"/>
  <c r="W73" i="29"/>
  <c r="W90" i="29"/>
  <c r="V46" i="29"/>
  <c r="W35" i="29"/>
  <c r="W45" i="29"/>
  <c r="W23" i="29"/>
  <c r="W52" i="29"/>
  <c r="W40" i="29"/>
  <c r="V29" i="29"/>
  <c r="V32" i="29"/>
  <c r="V36" i="29"/>
  <c r="W28" i="29"/>
  <c r="X7" i="29"/>
  <c r="W9" i="29"/>
  <c r="R9" i="28"/>
  <c r="S7" i="28"/>
  <c r="R77" i="26"/>
  <c r="R78" i="26"/>
  <c r="R79" i="26"/>
  <c r="Q84" i="26"/>
  <c r="Q86" i="26"/>
  <c r="S71" i="26"/>
  <c r="S76" i="26"/>
  <c r="S24" i="26"/>
  <c r="S29" i="26"/>
  <c r="Q30" i="26"/>
  <c r="Q43" i="26"/>
  <c r="R81" i="26"/>
  <c r="T7" i="26"/>
  <c r="S9" i="26"/>
  <c r="Q37" i="26"/>
  <c r="Q46" i="26"/>
  <c r="Q48" i="26"/>
  <c r="W84" i="29"/>
  <c r="W87" i="29"/>
  <c r="V87" i="29"/>
  <c r="V91" i="29"/>
  <c r="X83" i="29"/>
  <c r="X66" i="29"/>
  <c r="X61" i="29"/>
  <c r="X78" i="29"/>
  <c r="U94" i="29"/>
  <c r="V49" i="29"/>
  <c r="V53" i="29"/>
  <c r="V56" i="29"/>
  <c r="W67" i="29"/>
  <c r="V70" i="29"/>
  <c r="V74" i="29"/>
  <c r="X73" i="29"/>
  <c r="X90" i="29"/>
  <c r="W46" i="29"/>
  <c r="X35" i="29"/>
  <c r="X45" i="29"/>
  <c r="X23" i="29"/>
  <c r="X52" i="29"/>
  <c r="X40" i="29"/>
  <c r="W29" i="29"/>
  <c r="W32" i="29"/>
  <c r="W36" i="29"/>
  <c r="X28" i="29"/>
  <c r="Y7" i="29"/>
  <c r="X9" i="29"/>
  <c r="T7" i="28"/>
  <c r="S9" i="28"/>
  <c r="T76" i="26"/>
  <c r="T71" i="26"/>
  <c r="S77" i="26"/>
  <c r="S78" i="26"/>
  <c r="S79" i="26"/>
  <c r="R84" i="26"/>
  <c r="R86" i="26"/>
  <c r="T24" i="26"/>
  <c r="T29" i="26"/>
  <c r="R30" i="26"/>
  <c r="R43" i="26"/>
  <c r="U7" i="26"/>
  <c r="T9" i="26"/>
  <c r="S81" i="26"/>
  <c r="R37" i="26"/>
  <c r="R46" i="26"/>
  <c r="R48" i="26"/>
  <c r="X84" i="29"/>
  <c r="X87" i="29"/>
  <c r="V94" i="29"/>
  <c r="Y83" i="29"/>
  <c r="Y78" i="29"/>
  <c r="Y66" i="29"/>
  <c r="Y61" i="29"/>
  <c r="X67" i="29"/>
  <c r="W70" i="29"/>
  <c r="W74" i="29"/>
  <c r="W49" i="29"/>
  <c r="W53" i="29"/>
  <c r="W56" i="29"/>
  <c r="W91" i="29"/>
  <c r="Y90" i="29"/>
  <c r="Y73" i="29"/>
  <c r="X46" i="29"/>
  <c r="Y35" i="29"/>
  <c r="Y45" i="29"/>
  <c r="Y23" i="29"/>
  <c r="Y52" i="29"/>
  <c r="Y40" i="29"/>
  <c r="X29" i="29"/>
  <c r="X32" i="29"/>
  <c r="X36" i="29"/>
  <c r="Y28" i="29"/>
  <c r="Z7" i="29"/>
  <c r="Y9" i="29"/>
  <c r="T9" i="28"/>
  <c r="U7" i="28"/>
  <c r="U71" i="26"/>
  <c r="U76" i="26"/>
  <c r="T77" i="26"/>
  <c r="T78" i="26"/>
  <c r="T79" i="26"/>
  <c r="S84" i="26"/>
  <c r="S86" i="26"/>
  <c r="U24" i="26"/>
  <c r="U29" i="26"/>
  <c r="S30" i="26"/>
  <c r="S43" i="26"/>
  <c r="V7" i="26"/>
  <c r="U9" i="26"/>
  <c r="T81" i="26"/>
  <c r="S37" i="26"/>
  <c r="S46" i="26"/>
  <c r="S48" i="26"/>
  <c r="Y84" i="29"/>
  <c r="Y87" i="29"/>
  <c r="Z66" i="29"/>
  <c r="Z78" i="29"/>
  <c r="Z61" i="29"/>
  <c r="Z83" i="29"/>
  <c r="Y67" i="29"/>
  <c r="X70" i="29"/>
  <c r="X74" i="29"/>
  <c r="W94" i="29"/>
  <c r="X49" i="29"/>
  <c r="X53" i="29"/>
  <c r="X56" i="29"/>
  <c r="X91" i="29"/>
  <c r="Z90" i="29"/>
  <c r="Z73" i="29"/>
  <c r="Y46" i="29"/>
  <c r="Z35" i="29"/>
  <c r="Z45" i="29"/>
  <c r="Z23" i="29"/>
  <c r="Z52" i="29"/>
  <c r="Z40" i="29"/>
  <c r="Y29" i="29"/>
  <c r="Y32" i="29"/>
  <c r="Y36" i="29"/>
  <c r="AA7" i="29"/>
  <c r="Z9" i="29"/>
  <c r="Z28" i="29"/>
  <c r="U9" i="28"/>
  <c r="V7" i="28"/>
  <c r="V71" i="26"/>
  <c r="V76" i="26"/>
  <c r="U77" i="26"/>
  <c r="U78" i="26"/>
  <c r="U79" i="26"/>
  <c r="T84" i="26"/>
  <c r="T86" i="26"/>
  <c r="T30" i="26"/>
  <c r="T43" i="26"/>
  <c r="V24" i="26"/>
  <c r="V29" i="26"/>
  <c r="U81" i="26"/>
  <c r="V9" i="26"/>
  <c r="W7" i="26"/>
  <c r="T37" i="26"/>
  <c r="T46" i="26"/>
  <c r="T48" i="26"/>
  <c r="Z84" i="29"/>
  <c r="Z87" i="29"/>
  <c r="AA61" i="29"/>
  <c r="AA78" i="29"/>
  <c r="AA83" i="29"/>
  <c r="AA66" i="29"/>
  <c r="Z67" i="29"/>
  <c r="Y70" i="29"/>
  <c r="Y74" i="29"/>
  <c r="Y49" i="29"/>
  <c r="Y53" i="29"/>
  <c r="Y56" i="29"/>
  <c r="X94" i="29"/>
  <c r="Y91" i="29"/>
  <c r="AA90" i="29"/>
  <c r="AA73" i="29"/>
  <c r="Z46" i="29"/>
  <c r="AA35" i="29"/>
  <c r="AA23" i="29"/>
  <c r="AA52" i="29"/>
  <c r="AA40" i="29"/>
  <c r="AA45" i="29"/>
  <c r="Z29" i="29"/>
  <c r="Z32" i="29"/>
  <c r="Z36" i="29"/>
  <c r="AA9" i="29"/>
  <c r="AA28" i="29"/>
  <c r="AB7" i="29"/>
  <c r="V9" i="28"/>
  <c r="W7" i="28"/>
  <c r="W71" i="26"/>
  <c r="W76" i="26"/>
  <c r="V77" i="26"/>
  <c r="V78" i="26"/>
  <c r="V79" i="26"/>
  <c r="U84" i="26"/>
  <c r="U86" i="26"/>
  <c r="W24" i="26"/>
  <c r="W29" i="26"/>
  <c r="U30" i="26"/>
  <c r="U43" i="26"/>
  <c r="V81" i="26"/>
  <c r="X7" i="26"/>
  <c r="W9" i="26"/>
  <c r="U37" i="26"/>
  <c r="U46" i="26"/>
  <c r="U48" i="26"/>
  <c r="AA84" i="29"/>
  <c r="AA87" i="29"/>
  <c r="AB66" i="29"/>
  <c r="AB61" i="29"/>
  <c r="AB83" i="29"/>
  <c r="AB78" i="29"/>
  <c r="Y94" i="29"/>
  <c r="AA67" i="29"/>
  <c r="Z70" i="29"/>
  <c r="Z74" i="29"/>
  <c r="Z49" i="29"/>
  <c r="Z53" i="29"/>
  <c r="Z56" i="29"/>
  <c r="Z91" i="29"/>
  <c r="AB73" i="29"/>
  <c r="AB90" i="29"/>
  <c r="AA46" i="29"/>
  <c r="AB35" i="29"/>
  <c r="AB52" i="29"/>
  <c r="AB40" i="29"/>
  <c r="AB45" i="29"/>
  <c r="AB23" i="29"/>
  <c r="AA29" i="29"/>
  <c r="AA32" i="29"/>
  <c r="AA36" i="29"/>
  <c r="AB9" i="29"/>
  <c r="AC7" i="29"/>
  <c r="AB28" i="29"/>
  <c r="W9" i="28"/>
  <c r="X7" i="28"/>
  <c r="X71" i="26"/>
  <c r="X76" i="26"/>
  <c r="W77" i="26"/>
  <c r="W78" i="26"/>
  <c r="W79" i="26"/>
  <c r="V84" i="26"/>
  <c r="V86" i="26"/>
  <c r="V30" i="26"/>
  <c r="V43" i="26"/>
  <c r="X24" i="26"/>
  <c r="X29" i="26"/>
  <c r="W81" i="26"/>
  <c r="X9" i="26"/>
  <c r="Y7" i="26"/>
  <c r="V37" i="26"/>
  <c r="V46" i="26"/>
  <c r="V48" i="26"/>
  <c r="AB84" i="29"/>
  <c r="AB87" i="29"/>
  <c r="AC78" i="29"/>
  <c r="AC61" i="29"/>
  <c r="AC83" i="29"/>
  <c r="AC66" i="29"/>
  <c r="AB67" i="29"/>
  <c r="AA70" i="29"/>
  <c r="AA74" i="29"/>
  <c r="Z94" i="29"/>
  <c r="AA49" i="29"/>
  <c r="AA53" i="29"/>
  <c r="AA56" i="29"/>
  <c r="AA91" i="29"/>
  <c r="AC73" i="29"/>
  <c r="AC90" i="29"/>
  <c r="AB46" i="29"/>
  <c r="AC35" i="29"/>
  <c r="AC23" i="29"/>
  <c r="AC52" i="29"/>
  <c r="AC40" i="29"/>
  <c r="AC45" i="29"/>
  <c r="AB29" i="29"/>
  <c r="AB32" i="29"/>
  <c r="AB36" i="29"/>
  <c r="AC9" i="29"/>
  <c r="AC28" i="29"/>
  <c r="AD7" i="29"/>
  <c r="X9" i="28"/>
  <c r="Y7" i="28"/>
  <c r="X77" i="26"/>
  <c r="X78" i="26"/>
  <c r="X79" i="26"/>
  <c r="W84" i="26"/>
  <c r="W86" i="26"/>
  <c r="Y71" i="26"/>
  <c r="Y76" i="26"/>
  <c r="Y24" i="26"/>
  <c r="Y29" i="26"/>
  <c r="W30" i="26"/>
  <c r="W43" i="26"/>
  <c r="Z7" i="26"/>
  <c r="Y9" i="26"/>
  <c r="X81" i="26"/>
  <c r="W37" i="26"/>
  <c r="W46" i="26"/>
  <c r="W48" i="26"/>
  <c r="AC84" i="29"/>
  <c r="AC87" i="29"/>
  <c r="AD61" i="29"/>
  <c r="AD78" i="29"/>
  <c r="AD83" i="29"/>
  <c r="AD66" i="29"/>
  <c r="AB49" i="29"/>
  <c r="AB53" i="29"/>
  <c r="AB56" i="29"/>
  <c r="AC67" i="29"/>
  <c r="AB70" i="29"/>
  <c r="AB74" i="29"/>
  <c r="AA94" i="29"/>
  <c r="AB91" i="29"/>
  <c r="AD73" i="29"/>
  <c r="AD90" i="29"/>
  <c r="AC46" i="29"/>
  <c r="AD35" i="29"/>
  <c r="AD40" i="29"/>
  <c r="AD45" i="29"/>
  <c r="AD52" i="29"/>
  <c r="AD23" i="29"/>
  <c r="AC29" i="29"/>
  <c r="AC32" i="29"/>
  <c r="AC36" i="29"/>
  <c r="AD28" i="29"/>
  <c r="AE7" i="29"/>
  <c r="AD9" i="29"/>
  <c r="Y9" i="28"/>
  <c r="Z7" i="28"/>
  <c r="Z76" i="26"/>
  <c r="Z71" i="26"/>
  <c r="Y77" i="26"/>
  <c r="Y78" i="26"/>
  <c r="Y79" i="26"/>
  <c r="X84" i="26"/>
  <c r="X86" i="26"/>
  <c r="X30" i="26"/>
  <c r="X43" i="26"/>
  <c r="Z24" i="26"/>
  <c r="Z29" i="26"/>
  <c r="Y81" i="26"/>
  <c r="Z9" i="26"/>
  <c r="AA7" i="26"/>
  <c r="X37" i="26"/>
  <c r="X46" i="26"/>
  <c r="X48" i="26"/>
  <c r="AD84" i="29"/>
  <c r="AD87" i="29"/>
  <c r="AE66" i="29"/>
  <c r="AE78" i="29"/>
  <c r="AE61" i="29"/>
  <c r="AE83" i="29"/>
  <c r="AD67" i="29"/>
  <c r="AC70" i="29"/>
  <c r="AC74" i="29"/>
  <c r="AC49" i="29"/>
  <c r="AC53" i="29"/>
  <c r="AC56" i="29"/>
  <c r="AB94" i="29"/>
  <c r="AC91" i="29"/>
  <c r="AE73" i="29"/>
  <c r="AE90" i="29"/>
  <c r="AD46" i="29"/>
  <c r="AE35" i="29"/>
  <c r="AE45" i="29"/>
  <c r="AE23" i="29"/>
  <c r="AE52" i="29"/>
  <c r="AE40" i="29"/>
  <c r="AD29" i="29"/>
  <c r="AD32" i="29"/>
  <c r="AD36" i="29"/>
  <c r="AE28" i="29"/>
  <c r="AF7" i="29"/>
  <c r="AE9" i="29"/>
  <c r="Z9" i="28"/>
  <c r="AA7" i="28"/>
  <c r="Z77" i="26"/>
  <c r="Z78" i="26"/>
  <c r="Z79" i="26"/>
  <c r="Y84" i="26"/>
  <c r="Y86" i="26"/>
  <c r="AA71" i="26"/>
  <c r="AA76" i="26"/>
  <c r="AA24" i="26"/>
  <c r="AA29" i="26"/>
  <c r="Y30" i="26"/>
  <c r="Y43" i="26"/>
  <c r="Z81" i="26"/>
  <c r="AB7" i="26"/>
  <c r="AA9" i="26"/>
  <c r="Y37" i="26"/>
  <c r="Y46" i="26"/>
  <c r="Y48" i="26"/>
  <c r="AE84" i="29"/>
  <c r="AE87" i="29"/>
  <c r="AC94" i="29"/>
  <c r="AF61" i="29"/>
  <c r="AF83" i="29"/>
  <c r="AF66" i="29"/>
  <c r="AF78" i="29"/>
  <c r="AD49" i="29"/>
  <c r="AD53" i="29"/>
  <c r="AD56" i="29"/>
  <c r="AE67" i="29"/>
  <c r="AD70" i="29"/>
  <c r="AD74" i="29"/>
  <c r="AD91" i="29"/>
  <c r="AF73" i="29"/>
  <c r="AF90" i="29"/>
  <c r="AE46" i="29"/>
  <c r="AF35" i="29"/>
  <c r="AF45" i="29"/>
  <c r="AF23" i="29"/>
  <c r="AF52" i="29"/>
  <c r="AF40" i="29"/>
  <c r="AE29" i="29"/>
  <c r="AE32" i="29"/>
  <c r="AE36" i="29"/>
  <c r="AF28" i="29"/>
  <c r="AG7" i="29"/>
  <c r="AF9" i="29"/>
  <c r="AA9" i="28"/>
  <c r="AB7" i="28"/>
  <c r="AB76" i="26"/>
  <c r="AB71" i="26"/>
  <c r="AA77" i="26"/>
  <c r="AA78" i="26"/>
  <c r="AA79" i="26"/>
  <c r="Z84" i="26"/>
  <c r="Z86" i="26"/>
  <c r="AB24" i="26"/>
  <c r="AB29" i="26"/>
  <c r="Z30" i="26"/>
  <c r="Z43" i="26"/>
  <c r="AC7" i="26"/>
  <c r="AB9" i="26"/>
  <c r="AA81" i="26"/>
  <c r="Z37" i="26"/>
  <c r="Z46" i="26"/>
  <c r="Z48" i="26"/>
  <c r="AF84" i="29"/>
  <c r="AF87" i="29"/>
  <c r="AG83" i="29"/>
  <c r="AG78" i="29"/>
  <c r="AG66" i="29"/>
  <c r="AG61" i="29"/>
  <c r="AF67" i="29"/>
  <c r="AE70" i="29"/>
  <c r="AE74" i="29"/>
  <c r="AD94" i="29"/>
  <c r="AE49" i="29"/>
  <c r="AE53" i="29"/>
  <c r="AE56" i="29"/>
  <c r="AE91" i="29"/>
  <c r="AG90" i="29"/>
  <c r="AG73" i="29"/>
  <c r="AF46" i="29"/>
  <c r="AG35" i="29"/>
  <c r="AG45" i="29"/>
  <c r="AG23" i="29"/>
  <c r="AG52" i="29"/>
  <c r="AG40" i="29"/>
  <c r="AF29" i="29"/>
  <c r="AF32" i="29"/>
  <c r="AF36" i="29"/>
  <c r="AH7" i="29"/>
  <c r="AG28" i="29"/>
  <c r="AG9" i="29"/>
  <c r="AB9" i="28"/>
  <c r="AC7" i="28"/>
  <c r="AB77" i="26"/>
  <c r="AB78" i="26"/>
  <c r="AB79" i="26"/>
  <c r="AA84" i="26"/>
  <c r="AA86" i="26"/>
  <c r="AC71" i="26"/>
  <c r="AC76" i="26"/>
  <c r="AC24" i="26"/>
  <c r="AC29" i="26"/>
  <c r="AA30" i="26"/>
  <c r="AA43" i="26"/>
  <c r="AD7" i="26"/>
  <c r="AC9" i="26"/>
  <c r="AB81" i="26"/>
  <c r="AA37" i="26"/>
  <c r="AA46" i="26"/>
  <c r="AA48" i="26"/>
  <c r="AG84" i="29"/>
  <c r="AG87" i="29"/>
  <c r="AH66" i="29"/>
  <c r="AH61" i="29"/>
  <c r="AH83" i="29"/>
  <c r="AH78" i="29"/>
  <c r="AE94" i="29"/>
  <c r="AG67" i="29"/>
  <c r="AF70" i="29"/>
  <c r="AF74" i="29"/>
  <c r="AF49" i="29"/>
  <c r="AF53" i="29"/>
  <c r="AF56" i="29"/>
  <c r="AF91" i="29"/>
  <c r="AH90" i="29"/>
  <c r="AH73" i="29"/>
  <c r="AG46" i="29"/>
  <c r="AH35" i="29"/>
  <c r="AH45" i="29"/>
  <c r="AH23" i="29"/>
  <c r="AH52" i="29"/>
  <c r="AH40" i="29"/>
  <c r="AG29" i="29"/>
  <c r="AG32" i="29"/>
  <c r="AG36" i="29"/>
  <c r="AI7" i="29"/>
  <c r="AH28" i="29"/>
  <c r="AH9" i="29"/>
  <c r="AC9" i="28"/>
  <c r="AD7" i="28"/>
  <c r="AD71" i="26"/>
  <c r="AD76" i="26"/>
  <c r="AC77" i="26"/>
  <c r="AC78" i="26"/>
  <c r="AC79" i="26"/>
  <c r="AB84" i="26"/>
  <c r="AB86" i="26"/>
  <c r="AD24" i="26"/>
  <c r="AD29" i="26"/>
  <c r="AB30" i="26"/>
  <c r="AB43" i="26"/>
  <c r="AC81" i="26"/>
  <c r="AD9" i="26"/>
  <c r="AE7" i="26"/>
  <c r="AB37" i="26"/>
  <c r="AB46" i="26"/>
  <c r="AB48" i="26"/>
  <c r="AH84" i="29"/>
  <c r="AH87" i="29"/>
  <c r="AI61" i="29"/>
  <c r="AI78" i="29"/>
  <c r="AI66" i="29"/>
  <c r="AI83" i="29"/>
  <c r="AF94" i="29"/>
  <c r="AH67" i="29"/>
  <c r="AG70" i="29"/>
  <c r="AG74" i="29"/>
  <c r="AG49" i="29"/>
  <c r="AG53" i="29"/>
  <c r="AG56" i="29"/>
  <c r="AG91" i="29"/>
  <c r="AI90" i="29"/>
  <c r="AI73" i="29"/>
  <c r="AH46" i="29"/>
  <c r="AI35" i="29"/>
  <c r="AI23" i="29"/>
  <c r="AI45" i="29"/>
  <c r="AI52" i="29"/>
  <c r="AI40" i="29"/>
  <c r="AH29" i="29"/>
  <c r="AH32" i="29"/>
  <c r="AH36" i="29"/>
  <c r="AI28" i="29"/>
  <c r="AI9" i="29"/>
  <c r="AJ7" i="29"/>
  <c r="AD9" i="28"/>
  <c r="AE7" i="28"/>
  <c r="AE76" i="26"/>
  <c r="AE71" i="26"/>
  <c r="AD77" i="26"/>
  <c r="AD78" i="26"/>
  <c r="AD79" i="26"/>
  <c r="AC84" i="26"/>
  <c r="AC86" i="26"/>
  <c r="AE24" i="26"/>
  <c r="AE29" i="26"/>
  <c r="AC30" i="26"/>
  <c r="AC43" i="26"/>
  <c r="AD81" i="26"/>
  <c r="AF7" i="26"/>
  <c r="AE9" i="26"/>
  <c r="AC37" i="26"/>
  <c r="AC46" i="26"/>
  <c r="AC48" i="26"/>
  <c r="AI84" i="29"/>
  <c r="AI87" i="29"/>
  <c r="AJ66" i="29"/>
  <c r="AJ61" i="29"/>
  <c r="AJ78" i="29"/>
  <c r="AJ83" i="29"/>
  <c r="AI67" i="29"/>
  <c r="AH70" i="29"/>
  <c r="AH74" i="29"/>
  <c r="AG94" i="29"/>
  <c r="AH49" i="29"/>
  <c r="AH53" i="29"/>
  <c r="AH56" i="29"/>
  <c r="AJ90" i="29"/>
  <c r="AJ73" i="29"/>
  <c r="AH91" i="29"/>
  <c r="AI46" i="29"/>
  <c r="AJ35" i="29"/>
  <c r="AJ52" i="29"/>
  <c r="AJ40" i="29"/>
  <c r="AJ23" i="29"/>
  <c r="AJ45" i="29"/>
  <c r="AI29" i="29"/>
  <c r="AI32" i="29"/>
  <c r="AI36" i="29"/>
  <c r="AJ9" i="29"/>
  <c r="AK7" i="29"/>
  <c r="AJ28" i="29"/>
  <c r="AF7" i="28"/>
  <c r="AE9" i="28"/>
  <c r="AF71" i="26"/>
  <c r="AF76" i="26"/>
  <c r="AE77" i="26"/>
  <c r="AE78" i="26"/>
  <c r="AE79" i="26"/>
  <c r="AD84" i="26"/>
  <c r="AD86" i="26"/>
  <c r="AD30" i="26"/>
  <c r="AD43" i="26"/>
  <c r="AF24" i="26"/>
  <c r="AF29" i="26"/>
  <c r="AF9" i="26"/>
  <c r="AG7" i="26"/>
  <c r="AE81" i="26"/>
  <c r="AD37" i="26"/>
  <c r="AD46" i="26"/>
  <c r="AD48" i="26"/>
  <c r="AJ84" i="29"/>
  <c r="AJ87" i="29"/>
  <c r="AK83" i="29"/>
  <c r="AK78" i="29"/>
  <c r="AK66" i="29"/>
  <c r="AK61" i="29"/>
  <c r="AH94" i="29"/>
  <c r="AJ67" i="29"/>
  <c r="AI70" i="29"/>
  <c r="AI74" i="29"/>
  <c r="AI49" i="29"/>
  <c r="AI53" i="29"/>
  <c r="AI56" i="29"/>
  <c r="AK73" i="29"/>
  <c r="AK90" i="29"/>
  <c r="AI91" i="29"/>
  <c r="AJ46" i="29"/>
  <c r="AK35" i="29"/>
  <c r="AK52" i="29"/>
  <c r="AK45" i="29"/>
  <c r="AK23" i="29"/>
  <c r="AK40" i="29"/>
  <c r="AJ29" i="29"/>
  <c r="AJ32" i="29"/>
  <c r="AJ36" i="29"/>
  <c r="AK9" i="29"/>
  <c r="AK28" i="29"/>
  <c r="AL7" i="29"/>
  <c r="AG7" i="28"/>
  <c r="AF9" i="28"/>
  <c r="AF77" i="26"/>
  <c r="AF78" i="26"/>
  <c r="AF79" i="26"/>
  <c r="AE84" i="26"/>
  <c r="AE86" i="26"/>
  <c r="AG71" i="26"/>
  <c r="AG76" i="26"/>
  <c r="AG24" i="26"/>
  <c r="AG29" i="26"/>
  <c r="AE30" i="26"/>
  <c r="AE43" i="26"/>
  <c r="AG9" i="26"/>
  <c r="AH7" i="26"/>
  <c r="AF81" i="26"/>
  <c r="AE37" i="26"/>
  <c r="AE46" i="26"/>
  <c r="AE48" i="26"/>
  <c r="AK84" i="29"/>
  <c r="AK87" i="29"/>
  <c r="AL78" i="29"/>
  <c r="AL83" i="29"/>
  <c r="AL66" i="29"/>
  <c r="AL61" i="29"/>
  <c r="AI94" i="29"/>
  <c r="AJ49" i="29"/>
  <c r="AJ53" i="29"/>
  <c r="AJ56" i="29"/>
  <c r="AK67" i="29"/>
  <c r="AJ70" i="29"/>
  <c r="AJ74" i="29"/>
  <c r="AL73" i="29"/>
  <c r="AL90" i="29"/>
  <c r="AJ91" i="29"/>
  <c r="AK46" i="29"/>
  <c r="AL35" i="29"/>
  <c r="AL40" i="29"/>
  <c r="AL45" i="29"/>
  <c r="AL23" i="29"/>
  <c r="AL52" i="29"/>
  <c r="AK29" i="29"/>
  <c r="AK32" i="29"/>
  <c r="AK36" i="29"/>
  <c r="AL28" i="29"/>
  <c r="AM7" i="29"/>
  <c r="AL9" i="29"/>
  <c r="AG9" i="28"/>
  <c r="AH7" i="28"/>
  <c r="AH71" i="26"/>
  <c r="AH76" i="26"/>
  <c r="AG77" i="26"/>
  <c r="AG78" i="26"/>
  <c r="AG79" i="26"/>
  <c r="AF84" i="26"/>
  <c r="AF86" i="26"/>
  <c r="AF30" i="26"/>
  <c r="AF43" i="26"/>
  <c r="AH24" i="26"/>
  <c r="AH29" i="26"/>
  <c r="AH9" i="26"/>
  <c r="AI7" i="26"/>
  <c r="AG81" i="26"/>
  <c r="AF37" i="26"/>
  <c r="AF46" i="26"/>
  <c r="AF48" i="26"/>
  <c r="AL84" i="29"/>
  <c r="AL87" i="29"/>
  <c r="AM61" i="29"/>
  <c r="AM66" i="29"/>
  <c r="AM83" i="29"/>
  <c r="AM78" i="29"/>
  <c r="AJ94" i="29"/>
  <c r="AL67" i="29"/>
  <c r="AK70" i="29"/>
  <c r="AK74" i="29"/>
  <c r="AK49" i="29"/>
  <c r="AK53" i="29"/>
  <c r="AK56" i="29"/>
  <c r="AK91" i="29"/>
  <c r="AM73" i="29"/>
  <c r="AM90" i="29"/>
  <c r="AL46" i="29"/>
  <c r="AM35" i="29"/>
  <c r="AM45" i="29"/>
  <c r="AM23" i="29"/>
  <c r="AM52" i="29"/>
  <c r="AM40" i="29"/>
  <c r="AL29" i="29"/>
  <c r="AL32" i="29"/>
  <c r="AL36" i="29"/>
  <c r="AN7" i="29"/>
  <c r="AM9" i="29"/>
  <c r="AM28" i="29"/>
  <c r="AH9" i="28"/>
  <c r="AI7" i="28"/>
  <c r="AI71" i="26"/>
  <c r="AI76" i="26"/>
  <c r="AH77" i="26"/>
  <c r="AH78" i="26"/>
  <c r="AH79" i="26"/>
  <c r="AG84" i="26"/>
  <c r="AG86" i="26"/>
  <c r="AI24" i="26"/>
  <c r="AI29" i="26"/>
  <c r="AG30" i="26"/>
  <c r="AG43" i="26"/>
  <c r="AH81" i="26"/>
  <c r="AI9" i="26"/>
  <c r="AJ7" i="26"/>
  <c r="AG37" i="26"/>
  <c r="AG46" i="26"/>
  <c r="AG48" i="26"/>
  <c r="AM84" i="29"/>
  <c r="AM87" i="29"/>
  <c r="AN78" i="29"/>
  <c r="AN61" i="29"/>
  <c r="AN66" i="29"/>
  <c r="AN83" i="29"/>
  <c r="AL49" i="29"/>
  <c r="AL53" i="29"/>
  <c r="AL56" i="29"/>
  <c r="AM67" i="29"/>
  <c r="AL70" i="29"/>
  <c r="AL74" i="29"/>
  <c r="AK94" i="29"/>
  <c r="AL91" i="29"/>
  <c r="AN73" i="29"/>
  <c r="AN90" i="29"/>
  <c r="AM46" i="29"/>
  <c r="AN35" i="29"/>
  <c r="AN45" i="29"/>
  <c r="AN23" i="29"/>
  <c r="AN52" i="29"/>
  <c r="AN40" i="29"/>
  <c r="AM29" i="29"/>
  <c r="AM32" i="29"/>
  <c r="AM36" i="29"/>
  <c r="AN28" i="29"/>
  <c r="AO7" i="29"/>
  <c r="AN9" i="29"/>
  <c r="AJ7" i="28"/>
  <c r="AI9" i="28"/>
  <c r="AI77" i="26"/>
  <c r="AH84" i="26"/>
  <c r="AH86" i="26"/>
  <c r="AJ76" i="26"/>
  <c r="AJ71" i="26"/>
  <c r="AH30" i="26"/>
  <c r="AH43" i="26"/>
  <c r="AJ24" i="26"/>
  <c r="AJ29" i="26"/>
  <c r="AK7" i="26"/>
  <c r="AJ9" i="26"/>
  <c r="AH37" i="26"/>
  <c r="AH46" i="26"/>
  <c r="AH48" i="26"/>
  <c r="AN84" i="29"/>
  <c r="AN87" i="29"/>
  <c r="AL94" i="29"/>
  <c r="AO83" i="29"/>
  <c r="AO66" i="29"/>
  <c r="AO78" i="29"/>
  <c r="AO61" i="29"/>
  <c r="AM49" i="29"/>
  <c r="AM53" i="29"/>
  <c r="AM56" i="29"/>
  <c r="AN67" i="29"/>
  <c r="AM70" i="29"/>
  <c r="AM74" i="29"/>
  <c r="AM91" i="29"/>
  <c r="AO90" i="29"/>
  <c r="AO73" i="29"/>
  <c r="AN46" i="29"/>
  <c r="AO35" i="29"/>
  <c r="AO45" i="29"/>
  <c r="AO23" i="29"/>
  <c r="AO52" i="29"/>
  <c r="AO40" i="29"/>
  <c r="AN29" i="29"/>
  <c r="AN32" i="29"/>
  <c r="AN36" i="29"/>
  <c r="AP7" i="29"/>
  <c r="AO28" i="29"/>
  <c r="AO9" i="29"/>
  <c r="AJ9" i="28"/>
  <c r="AK7" i="28"/>
  <c r="AK71" i="26"/>
  <c r="AK76" i="26"/>
  <c r="AJ77" i="26"/>
  <c r="AI84" i="26"/>
  <c r="AI86" i="26"/>
  <c r="AK24" i="26"/>
  <c r="AK29" i="26"/>
  <c r="AI30" i="26"/>
  <c r="AI43" i="26"/>
  <c r="AL7" i="26"/>
  <c r="AK9" i="26"/>
  <c r="AI37" i="26"/>
  <c r="AI46" i="26"/>
  <c r="AI48" i="26"/>
  <c r="AO84" i="29"/>
  <c r="AO87" i="29"/>
  <c r="AP66" i="29"/>
  <c r="AP61" i="29"/>
  <c r="AP83" i="29"/>
  <c r="AP78" i="29"/>
  <c r="AO67" i="29"/>
  <c r="AN70" i="29"/>
  <c r="AN74" i="29"/>
  <c r="AN49" i="29"/>
  <c r="AN53" i="29"/>
  <c r="AN56" i="29"/>
  <c r="AM94" i="29"/>
  <c r="AP90" i="29"/>
  <c r="AP73" i="29"/>
  <c r="AN91" i="29"/>
  <c r="AO46" i="29"/>
  <c r="AP35" i="29"/>
  <c r="AP45" i="29"/>
  <c r="AP23" i="29"/>
  <c r="AP52" i="29"/>
  <c r="AP40" i="29"/>
  <c r="AO29" i="29"/>
  <c r="AO32" i="29"/>
  <c r="AO36" i="29"/>
  <c r="AQ7" i="29"/>
  <c r="AP28" i="29"/>
  <c r="AP9" i="29"/>
  <c r="AK9" i="28"/>
  <c r="AL7" i="28"/>
  <c r="AK77" i="26"/>
  <c r="AJ84" i="26"/>
  <c r="AJ86" i="26"/>
  <c r="AL71" i="26"/>
  <c r="AL76" i="26"/>
  <c r="AL24" i="26"/>
  <c r="AL29" i="26"/>
  <c r="AJ30" i="26"/>
  <c r="AJ43" i="26"/>
  <c r="AM7" i="26"/>
  <c r="AL9" i="26"/>
  <c r="AJ37" i="26"/>
  <c r="AJ46" i="26"/>
  <c r="AJ48" i="26"/>
  <c r="AP84" i="29"/>
  <c r="AP87" i="29"/>
  <c r="AQ61" i="29"/>
  <c r="AQ83" i="29"/>
  <c r="AQ78" i="29"/>
  <c r="AQ66" i="29"/>
  <c r="AN94" i="29"/>
  <c r="AO49" i="29"/>
  <c r="AO53" i="29"/>
  <c r="AO56" i="29"/>
  <c r="AP46" i="29"/>
  <c r="AP49" i="29"/>
  <c r="AP53" i="29"/>
  <c r="AP67" i="29"/>
  <c r="AO70" i="29"/>
  <c r="AO74" i="29"/>
  <c r="AO91" i="29"/>
  <c r="AQ90" i="29"/>
  <c r="AQ73" i="29"/>
  <c r="AQ35" i="29"/>
  <c r="AQ23" i="29"/>
  <c r="AQ52" i="29"/>
  <c r="AQ40" i="29"/>
  <c r="AQ45" i="29"/>
  <c r="AP29" i="29"/>
  <c r="AP32" i="29"/>
  <c r="AP36" i="29"/>
  <c r="AQ9" i="29"/>
  <c r="AQ28" i="29"/>
  <c r="AR7" i="29"/>
  <c r="AL9" i="28"/>
  <c r="AM7" i="28"/>
  <c r="AM71" i="26"/>
  <c r="AM76" i="26"/>
  <c r="AL77" i="26"/>
  <c r="AK84" i="26"/>
  <c r="AK86" i="26"/>
  <c r="AM24" i="26"/>
  <c r="AM29" i="26"/>
  <c r="AK30" i="26"/>
  <c r="AK43" i="26"/>
  <c r="AN7" i="26"/>
  <c r="AM9" i="26"/>
  <c r="AK37" i="26"/>
  <c r="AK46" i="26"/>
  <c r="AK48" i="26"/>
  <c r="AQ84" i="29"/>
  <c r="AQ87" i="29"/>
  <c r="AR66" i="29"/>
  <c r="AR78" i="29"/>
  <c r="AR61" i="29"/>
  <c r="AR83" i="29"/>
  <c r="AO94" i="29"/>
  <c r="AQ67" i="29"/>
  <c r="AP70" i="29"/>
  <c r="AP74" i="29"/>
  <c r="AP91" i="29"/>
  <c r="AR73" i="29"/>
  <c r="AR90" i="29"/>
  <c r="AP56" i="29"/>
  <c r="AQ46" i="29"/>
  <c r="AR35" i="29"/>
  <c r="AR52" i="29"/>
  <c r="AR40" i="29"/>
  <c r="AR23" i="29"/>
  <c r="AR45" i="29"/>
  <c r="AQ29" i="29"/>
  <c r="AQ32" i="29"/>
  <c r="AQ36" i="29"/>
  <c r="AR28" i="29"/>
  <c r="AR9" i="29"/>
  <c r="AM9" i="28"/>
  <c r="AN7" i="28"/>
  <c r="AM77" i="26"/>
  <c r="AL84" i="26"/>
  <c r="AL86" i="26"/>
  <c r="AN76" i="26"/>
  <c r="AN71" i="26"/>
  <c r="AN24" i="26"/>
  <c r="AN29" i="26"/>
  <c r="AL30" i="26"/>
  <c r="AL43" i="26"/>
  <c r="AN9" i="26"/>
  <c r="AO7" i="26"/>
  <c r="AL37" i="26"/>
  <c r="AL46" i="26"/>
  <c r="AL48" i="26"/>
  <c r="AR84" i="29"/>
  <c r="AR87" i="29"/>
  <c r="AQ49" i="29"/>
  <c r="AQ53" i="29"/>
  <c r="AQ56" i="29"/>
  <c r="AR67" i="29"/>
  <c r="AR70" i="29"/>
  <c r="AQ70" i="29"/>
  <c r="AQ74" i="29"/>
  <c r="AP94" i="29"/>
  <c r="AQ91" i="29"/>
  <c r="AR46" i="29"/>
  <c r="AR49" i="29"/>
  <c r="AR29" i="29"/>
  <c r="AR32" i="29"/>
  <c r="AR36" i="29"/>
  <c r="AO7" i="28"/>
  <c r="AN9" i="28"/>
  <c r="AO71" i="26"/>
  <c r="AO76" i="26"/>
  <c r="AN77" i="26"/>
  <c r="AM84" i="26"/>
  <c r="AM86" i="26"/>
  <c r="AO24" i="26"/>
  <c r="AO29" i="26"/>
  <c r="AM30" i="26"/>
  <c r="AM43" i="26"/>
  <c r="AO9" i="26"/>
  <c r="AP7" i="26"/>
  <c r="AM37" i="26"/>
  <c r="AM46" i="26"/>
  <c r="AM48" i="26"/>
  <c r="AQ94" i="29"/>
  <c r="D67" i="29"/>
  <c r="AR74" i="29"/>
  <c r="D74" i="29"/>
  <c r="D70" i="29"/>
  <c r="D46" i="29"/>
  <c r="D84" i="29"/>
  <c r="AR53" i="29"/>
  <c r="D53" i="29"/>
  <c r="D49" i="29"/>
  <c r="D36" i="29"/>
  <c r="D29" i="29"/>
  <c r="D32" i="29"/>
  <c r="AO9" i="28"/>
  <c r="AP7" i="28"/>
  <c r="AO77" i="26"/>
  <c r="AN84" i="26"/>
  <c r="AN86" i="26"/>
  <c r="AP76" i="26"/>
  <c r="AP71" i="26"/>
  <c r="AP24" i="26"/>
  <c r="AP29" i="26"/>
  <c r="AN30" i="26"/>
  <c r="AN43" i="26"/>
  <c r="AP9" i="26"/>
  <c r="AQ7" i="26"/>
  <c r="AN37" i="26"/>
  <c r="AN46" i="26"/>
  <c r="AN48" i="26"/>
  <c r="AR91" i="29"/>
  <c r="D87" i="29"/>
  <c r="AR56" i="29"/>
  <c r="AP9" i="28"/>
  <c r="AQ7" i="28"/>
  <c r="AQ71" i="26"/>
  <c r="AQ76" i="26"/>
  <c r="AP77" i="26"/>
  <c r="AO84" i="26"/>
  <c r="AO86" i="26"/>
  <c r="AQ24" i="26"/>
  <c r="AQ29" i="26"/>
  <c r="AO30" i="26"/>
  <c r="AO43" i="26"/>
  <c r="AR7" i="26"/>
  <c r="AQ9" i="26"/>
  <c r="AO37" i="26"/>
  <c r="AO46" i="26"/>
  <c r="AO48" i="26"/>
  <c r="D91" i="29"/>
  <c r="AR94" i="29"/>
  <c r="D94" i="29"/>
  <c r="AR7" i="28"/>
  <c r="AQ9" i="28"/>
  <c r="AR76" i="26"/>
  <c r="AR71" i="26"/>
  <c r="AQ77" i="26"/>
  <c r="AP84" i="26"/>
  <c r="AP86" i="26"/>
  <c r="AP30" i="26"/>
  <c r="AP43" i="26"/>
  <c r="AR24" i="26"/>
  <c r="AR29" i="26"/>
  <c r="AR9" i="26"/>
  <c r="AP37" i="26"/>
  <c r="AP46" i="26"/>
  <c r="AP48" i="26"/>
  <c r="AR9" i="28"/>
  <c r="AR77" i="26"/>
  <c r="AQ84" i="26"/>
  <c r="AQ86" i="26"/>
  <c r="AQ30" i="26"/>
  <c r="AQ43" i="26"/>
  <c r="AR84" i="26"/>
  <c r="AR86" i="26"/>
  <c r="D86" i="26"/>
  <c r="D77" i="26"/>
  <c r="AQ37" i="26"/>
  <c r="AQ46" i="26"/>
  <c r="AQ48" i="26"/>
  <c r="AR30" i="26"/>
  <c r="D84" i="26"/>
  <c r="AR37" i="26"/>
  <c r="D37" i="26"/>
  <c r="AR43" i="26"/>
  <c r="D43" i="26"/>
  <c r="D30" i="26"/>
  <c r="AR46" i="26"/>
  <c r="AR48" i="26"/>
  <c r="D48" i="26"/>
  <c r="D46" i="26"/>
  <c r="B55" i="24"/>
  <c r="D55" i="24"/>
  <c r="B53" i="24"/>
  <c r="B22" i="24"/>
  <c r="C6" i="25"/>
  <c r="D10" i="25"/>
  <c r="D17" i="24"/>
  <c r="D16" i="24"/>
  <c r="D15" i="24"/>
  <c r="F8" i="24"/>
  <c r="G8" i="24"/>
  <c r="H8" i="24"/>
  <c r="I8" i="24"/>
  <c r="J8" i="24"/>
  <c r="K8" i="24"/>
  <c r="L8" i="24"/>
  <c r="M8" i="24"/>
  <c r="N8" i="24"/>
  <c r="O8" i="24"/>
  <c r="P8" i="24"/>
  <c r="Q8" i="24"/>
  <c r="R8" i="24"/>
  <c r="S8" i="24"/>
  <c r="T8" i="24"/>
  <c r="U8" i="24"/>
  <c r="V8" i="24"/>
  <c r="W8" i="24"/>
  <c r="X8" i="24"/>
  <c r="Y8" i="24"/>
  <c r="Z8" i="24"/>
  <c r="AA8" i="24"/>
  <c r="AB8" i="24"/>
  <c r="AC8" i="24"/>
  <c r="AD8" i="24"/>
  <c r="AE8" i="24"/>
  <c r="AF8" i="24"/>
  <c r="AG8" i="24"/>
  <c r="AH8" i="24"/>
  <c r="AI8" i="24"/>
  <c r="AJ8" i="24"/>
  <c r="AK8" i="24"/>
  <c r="AL8" i="24"/>
  <c r="AM8" i="24"/>
  <c r="AN8" i="24"/>
  <c r="AO8" i="24"/>
  <c r="AP8" i="24"/>
  <c r="AQ8" i="24"/>
  <c r="AR8" i="24"/>
  <c r="F7" i="24"/>
  <c r="F27" i="24"/>
  <c r="A4" i="24"/>
  <c r="A1" i="24"/>
  <c r="F9" i="24"/>
  <c r="F25" i="24"/>
  <c r="F26" i="24"/>
  <c r="D11" i="25"/>
  <c r="D9" i="25"/>
  <c r="G7" i="24"/>
  <c r="G27" i="24"/>
  <c r="G25" i="24"/>
  <c r="G26" i="24"/>
  <c r="G9" i="24"/>
  <c r="H7" i="24"/>
  <c r="H27" i="24"/>
  <c r="H25" i="24"/>
  <c r="H26" i="24"/>
  <c r="I7" i="24"/>
  <c r="H9" i="24"/>
  <c r="J7" i="24"/>
  <c r="J27" i="24"/>
  <c r="I9" i="24"/>
  <c r="J25" i="24"/>
  <c r="J26" i="24"/>
  <c r="K7" i="24"/>
  <c r="K27" i="24"/>
  <c r="J9" i="24"/>
  <c r="K26" i="24"/>
  <c r="K25" i="24"/>
  <c r="K9" i="24"/>
  <c r="L7" i="24"/>
  <c r="L27" i="24"/>
  <c r="L25" i="24"/>
  <c r="L26" i="24"/>
  <c r="L9" i="24"/>
  <c r="M7" i="24"/>
  <c r="M27" i="24"/>
  <c r="M26" i="24"/>
  <c r="M25" i="24"/>
  <c r="M9" i="24"/>
  <c r="N7" i="24"/>
  <c r="N27" i="24"/>
  <c r="N26" i="24"/>
  <c r="N25" i="24"/>
  <c r="N9" i="24"/>
  <c r="O7" i="24"/>
  <c r="O27" i="24"/>
  <c r="O25" i="24"/>
  <c r="O26" i="24"/>
  <c r="O9" i="24"/>
  <c r="P7" i="24"/>
  <c r="P27" i="24"/>
  <c r="P26" i="24"/>
  <c r="P25" i="24"/>
  <c r="P9" i="24"/>
  <c r="Q7" i="24"/>
  <c r="Q27" i="24"/>
  <c r="Q25" i="24"/>
  <c r="Q26" i="24"/>
  <c r="R7" i="24"/>
  <c r="R27" i="24"/>
  <c r="Q9" i="24"/>
  <c r="R26" i="24"/>
  <c r="R25" i="24"/>
  <c r="S7" i="24"/>
  <c r="S27" i="24"/>
  <c r="R9" i="24"/>
  <c r="S26" i="24"/>
  <c r="S25" i="24"/>
  <c r="S9" i="24"/>
  <c r="T7" i="24"/>
  <c r="T27" i="24"/>
  <c r="T25" i="24"/>
  <c r="T26" i="24"/>
  <c r="T9" i="24"/>
  <c r="U7" i="24"/>
  <c r="U27" i="24"/>
  <c r="U25" i="24"/>
  <c r="U26" i="24"/>
  <c r="U9" i="24"/>
  <c r="V7" i="24"/>
  <c r="V27" i="24"/>
  <c r="V25" i="24"/>
  <c r="V26" i="24"/>
  <c r="V9" i="24"/>
  <c r="W7" i="24"/>
  <c r="W27" i="24"/>
  <c r="W25" i="24"/>
  <c r="W26" i="24"/>
  <c r="X7" i="24"/>
  <c r="X27" i="24"/>
  <c r="W9" i="24"/>
  <c r="X25" i="24"/>
  <c r="X26" i="24"/>
  <c r="X9" i="24"/>
  <c r="Y7" i="24"/>
  <c r="Y27" i="24"/>
  <c r="Y25" i="24"/>
  <c r="Y26" i="24"/>
  <c r="Z7" i="24"/>
  <c r="Z27" i="24"/>
  <c r="Y9" i="24"/>
  <c r="Z26" i="24"/>
  <c r="Z25" i="24"/>
  <c r="AA7" i="24"/>
  <c r="AA27" i="24"/>
  <c r="Z9" i="24"/>
  <c r="AA26" i="24"/>
  <c r="AA25" i="24"/>
  <c r="AA9" i="24"/>
  <c r="AB7" i="24"/>
  <c r="AB27" i="24"/>
  <c r="AB25" i="24"/>
  <c r="AB26" i="24"/>
  <c r="AB9" i="24"/>
  <c r="AC7" i="24"/>
  <c r="AC27" i="24"/>
  <c r="AC25" i="24"/>
  <c r="AC26" i="24"/>
  <c r="AC9" i="24"/>
  <c r="AD7" i="24"/>
  <c r="AD27" i="24"/>
  <c r="AD26" i="24"/>
  <c r="AD25" i="24"/>
  <c r="AD9" i="24"/>
  <c r="AE7" i="24"/>
  <c r="AE27" i="24"/>
  <c r="AE25" i="24"/>
  <c r="AE26" i="24"/>
  <c r="AE9" i="24"/>
  <c r="AF7" i="24"/>
  <c r="AF27" i="24"/>
  <c r="AF26" i="24"/>
  <c r="AF25" i="24"/>
  <c r="AF9" i="24"/>
  <c r="AG7" i="24"/>
  <c r="AG27" i="24"/>
  <c r="AG26" i="24"/>
  <c r="AG25" i="24"/>
  <c r="AG9" i="24"/>
  <c r="AH7" i="24"/>
  <c r="AH27" i="24"/>
  <c r="AH25" i="24"/>
  <c r="AH26" i="24"/>
  <c r="AI7" i="24"/>
  <c r="AI27" i="24"/>
  <c r="AH9" i="24"/>
  <c r="AI26" i="24"/>
  <c r="AI25" i="24"/>
  <c r="AI9" i="24"/>
  <c r="AJ7" i="24"/>
  <c r="AJ27" i="24"/>
  <c r="AJ25" i="24"/>
  <c r="AJ26" i="24"/>
  <c r="AJ9" i="24"/>
  <c r="AK7" i="24"/>
  <c r="AK27" i="24"/>
  <c r="AK26" i="24"/>
  <c r="AK25" i="24"/>
  <c r="AK9" i="24"/>
  <c r="AL7" i="24"/>
  <c r="AL27" i="24"/>
  <c r="AL25" i="24"/>
  <c r="AL26" i="24"/>
  <c r="AL9" i="24"/>
  <c r="AM7" i="24"/>
  <c r="AM27" i="24"/>
  <c r="AM25" i="24"/>
  <c r="AM26" i="24"/>
  <c r="AN7" i="24"/>
  <c r="AN27" i="24"/>
  <c r="AM9" i="24"/>
  <c r="AN25" i="24"/>
  <c r="AN26" i="24"/>
  <c r="AN9" i="24"/>
  <c r="AO7" i="24"/>
  <c r="AO27" i="24"/>
  <c r="AO25" i="24"/>
  <c r="AO26" i="24"/>
  <c r="AP7" i="24"/>
  <c r="AP27" i="24"/>
  <c r="AO9" i="24"/>
  <c r="AP25" i="24"/>
  <c r="AP26" i="24"/>
  <c r="AQ7" i="24"/>
  <c r="AQ27" i="24"/>
  <c r="AP9" i="24"/>
  <c r="AQ26" i="24"/>
  <c r="AQ25" i="24"/>
  <c r="AQ9" i="24"/>
  <c r="AR7" i="24"/>
  <c r="AR27" i="24"/>
  <c r="AR25" i="24"/>
  <c r="AR26" i="24"/>
  <c r="AR9" i="24"/>
  <c r="D52" i="23"/>
  <c r="D51" i="23"/>
  <c r="F8" i="23"/>
  <c r="G8" i="23"/>
  <c r="H8" i="23"/>
  <c r="I8" i="23"/>
  <c r="J8" i="23"/>
  <c r="K8" i="23"/>
  <c r="L8" i="23"/>
  <c r="M8" i="23"/>
  <c r="N8" i="23"/>
  <c r="O8" i="23"/>
  <c r="P8" i="23"/>
  <c r="Q8" i="23"/>
  <c r="R8" i="23"/>
  <c r="S8" i="23"/>
  <c r="T8" i="23"/>
  <c r="U8" i="23"/>
  <c r="V8" i="23"/>
  <c r="W8" i="23"/>
  <c r="X8" i="23"/>
  <c r="Y8" i="23"/>
  <c r="Z8" i="23"/>
  <c r="AA8" i="23"/>
  <c r="AB8" i="23"/>
  <c r="AC8" i="23"/>
  <c r="AD8" i="23"/>
  <c r="AE8" i="23"/>
  <c r="AF8" i="23"/>
  <c r="AG8" i="23"/>
  <c r="AH8" i="23"/>
  <c r="AI8" i="23"/>
  <c r="AJ8" i="23"/>
  <c r="AK8" i="23"/>
  <c r="AL8" i="23"/>
  <c r="AM8" i="23"/>
  <c r="AN8" i="23"/>
  <c r="AO8" i="23"/>
  <c r="AP8" i="23"/>
  <c r="AQ8" i="23"/>
  <c r="AR8" i="23"/>
  <c r="F7" i="23"/>
  <c r="A1" i="23"/>
  <c r="D32" i="22"/>
  <c r="F40" i="2"/>
  <c r="F60" i="2"/>
  <c r="D25" i="21"/>
  <c r="D24" i="21"/>
  <c r="D23" i="21"/>
  <c r="D22" i="21"/>
  <c r="E52" i="1"/>
  <c r="D20" i="23"/>
  <c r="D17" i="22"/>
  <c r="D16" i="22"/>
  <c r="D15"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F7" i="22"/>
  <c r="F9" i="22"/>
  <c r="A4" i="22"/>
  <c r="A1" i="22"/>
  <c r="F35" i="23"/>
  <c r="D40" i="23"/>
  <c r="D41" i="23"/>
  <c r="E54" i="1"/>
  <c r="D22" i="23"/>
  <c r="F72" i="2"/>
  <c r="F80" i="2"/>
  <c r="F92" i="2"/>
  <c r="G40" i="2"/>
  <c r="G60" i="2"/>
  <c r="F52" i="2"/>
  <c r="F51" i="23"/>
  <c r="D53" i="23"/>
  <c r="D54" i="23"/>
  <c r="F20" i="23"/>
  <c r="D25" i="23"/>
  <c r="F22" i="23"/>
  <c r="F37" i="23"/>
  <c r="F9" i="23"/>
  <c r="G7" i="23"/>
  <c r="G7" i="22"/>
  <c r="D26" i="21"/>
  <c r="D17" i="21"/>
  <c r="D16" i="21"/>
  <c r="D15" i="21"/>
  <c r="F8" i="21"/>
  <c r="G8" i="21"/>
  <c r="H8" i="21"/>
  <c r="I8" i="21"/>
  <c r="J8" i="21"/>
  <c r="K8" i="21"/>
  <c r="L8" i="21"/>
  <c r="M8" i="21"/>
  <c r="N8" i="21"/>
  <c r="O8" i="21"/>
  <c r="P8" i="21"/>
  <c r="Q8" i="21"/>
  <c r="R8" i="21"/>
  <c r="S8" i="21"/>
  <c r="T8" i="21"/>
  <c r="U8" i="21"/>
  <c r="V8" i="21"/>
  <c r="W8" i="21"/>
  <c r="X8" i="21"/>
  <c r="Y8" i="21"/>
  <c r="Z8" i="21"/>
  <c r="AA8" i="21"/>
  <c r="AB8" i="21"/>
  <c r="AC8" i="21"/>
  <c r="AD8" i="21"/>
  <c r="AE8" i="21"/>
  <c r="AF8" i="21"/>
  <c r="AG8" i="21"/>
  <c r="AH8" i="21"/>
  <c r="AI8" i="21"/>
  <c r="AJ8" i="21"/>
  <c r="AK8" i="21"/>
  <c r="AL8" i="21"/>
  <c r="AM8" i="21"/>
  <c r="AN8" i="21"/>
  <c r="AO8" i="21"/>
  <c r="AP8" i="21"/>
  <c r="AQ8" i="21"/>
  <c r="AR8" i="21"/>
  <c r="F7" i="21"/>
  <c r="F57" i="21"/>
  <c r="A1" i="21"/>
  <c r="D23" i="23"/>
  <c r="D24" i="23"/>
  <c r="D26" i="23"/>
  <c r="F26" i="23"/>
  <c r="G35" i="23"/>
  <c r="G41" i="23"/>
  <c r="G37" i="23"/>
  <c r="F41" i="23"/>
  <c r="F48" i="21"/>
  <c r="F45" i="21"/>
  <c r="F47" i="21"/>
  <c r="F46" i="21"/>
  <c r="G53" i="23"/>
  <c r="G72" i="2"/>
  <c r="G80" i="2"/>
  <c r="G92" i="2"/>
  <c r="H40" i="2"/>
  <c r="H60" i="2"/>
  <c r="G52" i="2"/>
  <c r="G26" i="23"/>
  <c r="G51" i="23"/>
  <c r="G20" i="23"/>
  <c r="G9" i="23"/>
  <c r="G22" i="23"/>
  <c r="H7" i="23"/>
  <c r="H7" i="22"/>
  <c r="G9" i="22"/>
  <c r="F35" i="21"/>
  <c r="F27" i="21"/>
  <c r="F9" i="21"/>
  <c r="G7" i="21"/>
  <c r="G57" i="21"/>
  <c r="D39" i="20"/>
  <c r="F17" i="20"/>
  <c r="F18" i="20"/>
  <c r="Q14" i="20"/>
  <c r="Q13" i="20"/>
  <c r="F11" i="20"/>
  <c r="F12" i="20"/>
  <c r="F4" i="20"/>
  <c r="F5" i="20"/>
  <c r="F44" i="23"/>
  <c r="G44" i="23"/>
  <c r="H44" i="23"/>
  <c r="I44" i="23"/>
  <c r="J44" i="23"/>
  <c r="K44" i="23"/>
  <c r="L44" i="23"/>
  <c r="M44" i="23"/>
  <c r="N44" i="23"/>
  <c r="O44" i="23"/>
  <c r="P44" i="23"/>
  <c r="Q44" i="23"/>
  <c r="R44" i="23"/>
  <c r="S44" i="23"/>
  <c r="T44" i="23"/>
  <c r="U44" i="23"/>
  <c r="V44" i="23"/>
  <c r="W44" i="23"/>
  <c r="X44" i="23"/>
  <c r="Y44" i="23"/>
  <c r="Z44" i="23"/>
  <c r="AA44" i="23"/>
  <c r="AB44" i="23"/>
  <c r="AC44" i="23"/>
  <c r="AD44" i="23"/>
  <c r="AE44" i="23"/>
  <c r="AF44" i="23"/>
  <c r="AG44" i="23"/>
  <c r="AH44" i="23"/>
  <c r="AI44" i="23"/>
  <c r="AJ44" i="23"/>
  <c r="AK44" i="23"/>
  <c r="AL44" i="23"/>
  <c r="AM44" i="23"/>
  <c r="AN44" i="23"/>
  <c r="AO44" i="23"/>
  <c r="AP44" i="23"/>
  <c r="AQ44" i="23"/>
  <c r="AR44" i="23"/>
  <c r="F29" i="23"/>
  <c r="G29" i="23"/>
  <c r="H29" i="23"/>
  <c r="I29" i="23"/>
  <c r="J29" i="23"/>
  <c r="K29" i="23"/>
  <c r="L29" i="23"/>
  <c r="M29" i="23"/>
  <c r="N29" i="23"/>
  <c r="O29" i="23"/>
  <c r="P29" i="23"/>
  <c r="Q29" i="23"/>
  <c r="R29" i="23"/>
  <c r="S29" i="23"/>
  <c r="T29" i="23"/>
  <c r="U29" i="23"/>
  <c r="V29" i="23"/>
  <c r="W29" i="23"/>
  <c r="X29" i="23"/>
  <c r="Y29" i="23"/>
  <c r="Z29" i="23"/>
  <c r="AA29" i="23"/>
  <c r="AB29" i="23"/>
  <c r="AC29" i="23"/>
  <c r="AD29" i="23"/>
  <c r="AE29" i="23"/>
  <c r="AF29" i="23"/>
  <c r="AG29" i="23"/>
  <c r="AH29" i="23"/>
  <c r="AI29" i="23"/>
  <c r="AJ29" i="23"/>
  <c r="AK29" i="23"/>
  <c r="AL29" i="23"/>
  <c r="AM29" i="23"/>
  <c r="AN29" i="23"/>
  <c r="AO29" i="23"/>
  <c r="AP29" i="23"/>
  <c r="AQ29" i="23"/>
  <c r="AR29" i="23"/>
  <c r="H35" i="23"/>
  <c r="H41" i="23"/>
  <c r="H37" i="23"/>
  <c r="S12" i="20"/>
  <c r="Q15" i="20"/>
  <c r="F2" i="20"/>
  <c r="I2" i="20"/>
  <c r="F30" i="23"/>
  <c r="G48" i="21"/>
  <c r="G45" i="21"/>
  <c r="G46" i="21"/>
  <c r="G47" i="21"/>
  <c r="F49" i="21"/>
  <c r="H72" i="2"/>
  <c r="H80" i="2"/>
  <c r="H92" i="2"/>
  <c r="I40" i="2"/>
  <c r="I60" i="2"/>
  <c r="H52" i="2"/>
  <c r="F22" i="24"/>
  <c r="H51" i="23"/>
  <c r="H53" i="23"/>
  <c r="H20" i="23"/>
  <c r="H26" i="23"/>
  <c r="H22" i="23"/>
  <c r="I7" i="23"/>
  <c r="H9" i="23"/>
  <c r="H9" i="22"/>
  <c r="I7" i="22"/>
  <c r="G35" i="21"/>
  <c r="G27" i="21"/>
  <c r="H7" i="21"/>
  <c r="H57" i="21"/>
  <c r="G9" i="21"/>
  <c r="G58" i="23"/>
  <c r="F31" i="23"/>
  <c r="F60" i="23"/>
  <c r="F45" i="23"/>
  <c r="F64" i="23"/>
  <c r="F46" i="23"/>
  <c r="F65" i="23"/>
  <c r="G63" i="23"/>
  <c r="F63" i="23"/>
  <c r="F58" i="23"/>
  <c r="F53" i="24"/>
  <c r="I35" i="23"/>
  <c r="I41" i="23"/>
  <c r="I37" i="23"/>
  <c r="H63" i="23"/>
  <c r="G46" i="23"/>
  <c r="G65" i="23"/>
  <c r="G45" i="23"/>
  <c r="G64" i="23"/>
  <c r="D25" i="20"/>
  <c r="D32" i="20"/>
  <c r="D33" i="20"/>
  <c r="F33" i="20"/>
  <c r="F34" i="20"/>
  <c r="S13" i="20"/>
  <c r="D40" i="20"/>
  <c r="F40" i="20"/>
  <c r="F41" i="20"/>
  <c r="F59" i="23"/>
  <c r="G31" i="23"/>
  <c r="G30" i="23"/>
  <c r="H46" i="21"/>
  <c r="H45" i="21"/>
  <c r="H48" i="21"/>
  <c r="H47" i="21"/>
  <c r="I72" i="2"/>
  <c r="I80" i="2"/>
  <c r="I92" i="2"/>
  <c r="J40" i="2"/>
  <c r="J60" i="2"/>
  <c r="I52" i="2"/>
  <c r="G22" i="24"/>
  <c r="H58" i="23"/>
  <c r="I51" i="23"/>
  <c r="I53" i="23"/>
  <c r="I20" i="23"/>
  <c r="I26" i="23"/>
  <c r="I22" i="23"/>
  <c r="I9" i="23"/>
  <c r="J7" i="23"/>
  <c r="G49" i="21"/>
  <c r="J7" i="22"/>
  <c r="I9" i="22"/>
  <c r="H35" i="21"/>
  <c r="H27" i="21"/>
  <c r="I7" i="21"/>
  <c r="I57" i="21"/>
  <c r="H9" i="21"/>
  <c r="F68" i="26"/>
  <c r="I63" i="23"/>
  <c r="H46" i="23"/>
  <c r="H65" i="23"/>
  <c r="H45" i="23"/>
  <c r="H64" i="23"/>
  <c r="J35" i="23"/>
  <c r="J41" i="23"/>
  <c r="J37" i="23"/>
  <c r="F25" i="20"/>
  <c r="F26" i="20"/>
  <c r="G59" i="23"/>
  <c r="G60" i="23"/>
  <c r="H31" i="23"/>
  <c r="H30" i="23"/>
  <c r="I46" i="21"/>
  <c r="I45" i="21"/>
  <c r="I47" i="21"/>
  <c r="I48" i="21"/>
  <c r="J72" i="2"/>
  <c r="J80" i="2"/>
  <c r="J92" i="2"/>
  <c r="K40" i="2"/>
  <c r="K60" i="2"/>
  <c r="J52" i="2"/>
  <c r="H10" i="21"/>
  <c r="H16" i="21"/>
  <c r="G68" i="26"/>
  <c r="I58" i="23"/>
  <c r="G53" i="24"/>
  <c r="H22" i="24"/>
  <c r="J51" i="23"/>
  <c r="J53" i="23"/>
  <c r="J20" i="23"/>
  <c r="J26" i="23"/>
  <c r="J22" i="23"/>
  <c r="J9" i="23"/>
  <c r="K7" i="23"/>
  <c r="G10" i="21"/>
  <c r="F10" i="21"/>
  <c r="I10" i="21"/>
  <c r="I15" i="21"/>
  <c r="H49" i="21"/>
  <c r="K7" i="22"/>
  <c r="J9" i="22"/>
  <c r="J7" i="21"/>
  <c r="J57" i="21"/>
  <c r="I35" i="21"/>
  <c r="I27" i="21"/>
  <c r="I9" i="21"/>
  <c r="A3" i="2"/>
  <c r="A3" i="33" s="1"/>
  <c r="K41" i="23"/>
  <c r="K37" i="23"/>
  <c r="K35" i="23"/>
  <c r="J63" i="23"/>
  <c r="I46" i="23"/>
  <c r="I65" i="23"/>
  <c r="I45" i="23"/>
  <c r="I64" i="23"/>
  <c r="H60" i="23"/>
  <c r="H59" i="23"/>
  <c r="I31" i="23"/>
  <c r="I30" i="23"/>
  <c r="H17" i="21"/>
  <c r="H62" i="21"/>
  <c r="J46" i="21"/>
  <c r="J47" i="21"/>
  <c r="J48" i="21"/>
  <c r="J45" i="21"/>
  <c r="K72" i="2"/>
  <c r="K80" i="2"/>
  <c r="K92" i="2"/>
  <c r="L40" i="2"/>
  <c r="L60" i="2"/>
  <c r="K52" i="2"/>
  <c r="J58" i="23"/>
  <c r="I22" i="24"/>
  <c r="I25" i="24"/>
  <c r="D31" i="24"/>
  <c r="H68" i="26"/>
  <c r="H53" i="24"/>
  <c r="K51" i="23"/>
  <c r="K53" i="23"/>
  <c r="K20" i="23"/>
  <c r="K26" i="23"/>
  <c r="K22" i="23"/>
  <c r="L7" i="23"/>
  <c r="K9" i="23"/>
  <c r="J10" i="21"/>
  <c r="J17" i="21"/>
  <c r="I16" i="21"/>
  <c r="I61" i="21"/>
  <c r="I17" i="21"/>
  <c r="I62" i="21"/>
  <c r="F16" i="21"/>
  <c r="F61" i="21"/>
  <c r="F17" i="21"/>
  <c r="F62" i="21"/>
  <c r="G15" i="21"/>
  <c r="G60" i="21"/>
  <c r="G16" i="21"/>
  <c r="G61" i="21"/>
  <c r="G17" i="21"/>
  <c r="G62" i="21"/>
  <c r="I60" i="21"/>
  <c r="I49" i="21"/>
  <c r="L7" i="22"/>
  <c r="K9" i="22"/>
  <c r="F15" i="21"/>
  <c r="I30" i="21"/>
  <c r="J35" i="21"/>
  <c r="J27" i="21"/>
  <c r="K7" i="21"/>
  <c r="K57" i="21"/>
  <c r="J9" i="21"/>
  <c r="H15" i="21"/>
  <c r="H60" i="21"/>
  <c r="H61" i="21"/>
  <c r="E17" i="18"/>
  <c r="D17" i="18"/>
  <c r="J17" i="18"/>
  <c r="B17" i="18"/>
  <c r="L41" i="23"/>
  <c r="L37" i="23"/>
  <c r="L35" i="23"/>
  <c r="K63" i="23"/>
  <c r="J45" i="23"/>
  <c r="J64" i="23"/>
  <c r="J46" i="23"/>
  <c r="J65" i="23"/>
  <c r="I60" i="23"/>
  <c r="I53" i="24"/>
  <c r="I59" i="23"/>
  <c r="J31" i="23"/>
  <c r="J30" i="23"/>
  <c r="K46" i="21"/>
  <c r="K45" i="21"/>
  <c r="K47" i="21"/>
  <c r="K48" i="21"/>
  <c r="J22" i="24"/>
  <c r="J40" i="24"/>
  <c r="I68" i="26"/>
  <c r="L72" i="2"/>
  <c r="L80" i="2"/>
  <c r="L92" i="2"/>
  <c r="M40" i="2"/>
  <c r="M60" i="2"/>
  <c r="L52" i="2"/>
  <c r="J53" i="24"/>
  <c r="I27" i="24"/>
  <c r="D33" i="24"/>
  <c r="D60" i="24"/>
  <c r="I26" i="24"/>
  <c r="D32" i="24"/>
  <c r="J16" i="21"/>
  <c r="J61" i="21"/>
  <c r="F32" i="21"/>
  <c r="F36" i="21"/>
  <c r="G40" i="24"/>
  <c r="I40" i="24"/>
  <c r="H40" i="24"/>
  <c r="F40" i="24"/>
  <c r="D58" i="24"/>
  <c r="L51" i="23"/>
  <c r="L53" i="23"/>
  <c r="L20" i="23"/>
  <c r="L26" i="23"/>
  <c r="L22" i="23"/>
  <c r="M7" i="23"/>
  <c r="L9" i="23"/>
  <c r="K10" i="21"/>
  <c r="K16" i="21"/>
  <c r="G30" i="21"/>
  <c r="F30" i="21"/>
  <c r="F60" i="21"/>
  <c r="J49" i="21"/>
  <c r="L9" i="22"/>
  <c r="M7" i="22"/>
  <c r="I31" i="21"/>
  <c r="J32" i="21"/>
  <c r="J15" i="21"/>
  <c r="J60" i="21"/>
  <c r="H30" i="21"/>
  <c r="G31" i="21"/>
  <c r="I32" i="21"/>
  <c r="H31" i="21"/>
  <c r="F31" i="21"/>
  <c r="H32" i="21"/>
  <c r="G32" i="21"/>
  <c r="L7" i="21"/>
  <c r="L57" i="21"/>
  <c r="K9" i="21"/>
  <c r="K35" i="21"/>
  <c r="K27" i="21"/>
  <c r="E16" i="1"/>
  <c r="E17" i="1"/>
  <c r="K58" i="23"/>
  <c r="L58" i="23"/>
  <c r="K46" i="23"/>
  <c r="K65" i="23"/>
  <c r="K45" i="23"/>
  <c r="K64" i="23"/>
  <c r="L63" i="23"/>
  <c r="M41" i="23"/>
  <c r="M37" i="23"/>
  <c r="M35" i="23"/>
  <c r="J60" i="23"/>
  <c r="J59" i="23"/>
  <c r="K30" i="23"/>
  <c r="K31" i="23"/>
  <c r="J41" i="24"/>
  <c r="J47" i="24"/>
  <c r="L45" i="21"/>
  <c r="L47" i="21"/>
  <c r="L48" i="21"/>
  <c r="L46" i="21"/>
  <c r="J68" i="26"/>
  <c r="J31" i="21"/>
  <c r="M72" i="2"/>
  <c r="M80" i="2"/>
  <c r="M92" i="2"/>
  <c r="N40" i="2"/>
  <c r="N60" i="2"/>
  <c r="M52" i="2"/>
  <c r="H41" i="24"/>
  <c r="H47" i="24"/>
  <c r="D59" i="24"/>
  <c r="H68" i="24"/>
  <c r="H74" i="24"/>
  <c r="F41" i="24"/>
  <c r="F42" i="24"/>
  <c r="I41" i="24"/>
  <c r="I47" i="24"/>
  <c r="G41" i="24"/>
  <c r="G47" i="24"/>
  <c r="K22" i="24"/>
  <c r="K40" i="24"/>
  <c r="K46" i="24"/>
  <c r="K15" i="21"/>
  <c r="K60" i="21"/>
  <c r="J46" i="24"/>
  <c r="F46" i="24"/>
  <c r="J67" i="24"/>
  <c r="K17" i="21"/>
  <c r="K62" i="21"/>
  <c r="F67" i="24"/>
  <c r="G67" i="24"/>
  <c r="H46" i="24"/>
  <c r="H67" i="24"/>
  <c r="I46" i="24"/>
  <c r="I67" i="24"/>
  <c r="G46" i="24"/>
  <c r="M51" i="23"/>
  <c r="M53" i="23"/>
  <c r="M20" i="23"/>
  <c r="M26" i="23"/>
  <c r="M22" i="23"/>
  <c r="M9" i="23"/>
  <c r="N7" i="23"/>
  <c r="L10" i="21"/>
  <c r="L17" i="21"/>
  <c r="I36" i="21"/>
  <c r="H36" i="21"/>
  <c r="J36" i="21"/>
  <c r="G36" i="21"/>
  <c r="F39" i="21"/>
  <c r="F71" i="21"/>
  <c r="F48" i="2"/>
  <c r="F40" i="21"/>
  <c r="F72" i="21"/>
  <c r="F68" i="2"/>
  <c r="F41" i="21"/>
  <c r="F73" i="21"/>
  <c r="F88" i="2"/>
  <c r="J62" i="21"/>
  <c r="K49" i="21"/>
  <c r="M9" i="22"/>
  <c r="N7" i="22"/>
  <c r="J30" i="21"/>
  <c r="M7" i="21"/>
  <c r="M57" i="21"/>
  <c r="K61" i="21"/>
  <c r="L35" i="21"/>
  <c r="L27" i="21"/>
  <c r="L9" i="21"/>
  <c r="L46" i="23"/>
  <c r="L65" i="23"/>
  <c r="M63" i="23"/>
  <c r="L45" i="23"/>
  <c r="L64" i="23"/>
  <c r="N41" i="23"/>
  <c r="N37" i="23"/>
  <c r="N35" i="23"/>
  <c r="K59" i="23"/>
  <c r="K60" i="23"/>
  <c r="L31" i="23"/>
  <c r="L30" i="23"/>
  <c r="K53" i="24"/>
  <c r="K67" i="24"/>
  <c r="J42" i="24"/>
  <c r="J48" i="24"/>
  <c r="I42" i="24"/>
  <c r="M47" i="21"/>
  <c r="M48" i="21"/>
  <c r="M45" i="21"/>
  <c r="M46" i="21"/>
  <c r="G68" i="24"/>
  <c r="G74" i="24"/>
  <c r="F68" i="24"/>
  <c r="F69" i="24"/>
  <c r="L68" i="26"/>
  <c r="I68" i="24"/>
  <c r="I74" i="24"/>
  <c r="J68" i="24"/>
  <c r="J74" i="24"/>
  <c r="L22" i="24"/>
  <c r="L41" i="24"/>
  <c r="H48" i="24"/>
  <c r="H42" i="24"/>
  <c r="F47" i="24"/>
  <c r="F48" i="24"/>
  <c r="N72" i="2"/>
  <c r="N80" i="2"/>
  <c r="N92" i="2"/>
  <c r="O40" i="2"/>
  <c r="O60" i="2"/>
  <c r="N52" i="2"/>
  <c r="G42" i="24"/>
  <c r="G48" i="24"/>
  <c r="M58" i="23"/>
  <c r="I48" i="24"/>
  <c r="K68" i="26"/>
  <c r="K41" i="24"/>
  <c r="K47" i="24"/>
  <c r="K48" i="24"/>
  <c r="K30" i="21"/>
  <c r="H73" i="24"/>
  <c r="H75" i="24"/>
  <c r="H69" i="24"/>
  <c r="I73" i="24"/>
  <c r="G73" i="24"/>
  <c r="F73" i="24"/>
  <c r="J73" i="24"/>
  <c r="N51" i="23"/>
  <c r="N53" i="23"/>
  <c r="N20" i="23"/>
  <c r="N26" i="23"/>
  <c r="N22" i="23"/>
  <c r="O7" i="23"/>
  <c r="N9" i="23"/>
  <c r="M10" i="21"/>
  <c r="M16" i="21"/>
  <c r="L16" i="21"/>
  <c r="L61" i="21"/>
  <c r="H40" i="21"/>
  <c r="H72" i="21"/>
  <c r="H68" i="2"/>
  <c r="H41" i="21"/>
  <c r="H73" i="21"/>
  <c r="H88" i="2"/>
  <c r="H39" i="21"/>
  <c r="H71" i="21"/>
  <c r="H48" i="2"/>
  <c r="J39" i="21"/>
  <c r="J71" i="21"/>
  <c r="J48" i="2"/>
  <c r="J40" i="21"/>
  <c r="J72" i="21"/>
  <c r="J68" i="2"/>
  <c r="J41" i="21"/>
  <c r="J73" i="21"/>
  <c r="J88" i="2"/>
  <c r="I41" i="21"/>
  <c r="I73" i="21"/>
  <c r="I88" i="2"/>
  <c r="I39" i="21"/>
  <c r="I71" i="21"/>
  <c r="I48" i="2"/>
  <c r="I40" i="21"/>
  <c r="I72" i="21"/>
  <c r="I68" i="2"/>
  <c r="G39" i="21"/>
  <c r="G71" i="21"/>
  <c r="G48" i="2"/>
  <c r="G40" i="21"/>
  <c r="G72" i="21"/>
  <c r="G68" i="2"/>
  <c r="G41" i="21"/>
  <c r="G73" i="21"/>
  <c r="G88" i="2"/>
  <c r="L62" i="21"/>
  <c r="L49" i="21"/>
  <c r="O7" i="22"/>
  <c r="N9" i="22"/>
  <c r="K32" i="21"/>
  <c r="K31" i="21"/>
  <c r="L32" i="21"/>
  <c r="N7" i="21"/>
  <c r="N57" i="21"/>
  <c r="M9" i="21"/>
  <c r="M35" i="21"/>
  <c r="M27" i="21"/>
  <c r="L15" i="21"/>
  <c r="L60" i="21"/>
  <c r="E26" i="1"/>
  <c r="H11" i="26"/>
  <c r="AP11" i="41"/>
  <c r="AI11" i="41"/>
  <c r="AA11" i="41"/>
  <c r="S11" i="41"/>
  <c r="K11" i="41"/>
  <c r="AQ11" i="41"/>
  <c r="AO11" i="41"/>
  <c r="AG11" i="41"/>
  <c r="Y11" i="41"/>
  <c r="Q11" i="41"/>
  <c r="I11" i="41"/>
  <c r="AN11" i="41"/>
  <c r="AF11" i="41"/>
  <c r="X11" i="41"/>
  <c r="P11" i="41"/>
  <c r="H11" i="41"/>
  <c r="Z11" i="41"/>
  <c r="R11" i="41"/>
  <c r="O11" i="41"/>
  <c r="AL11" i="41"/>
  <c r="AD11" i="41"/>
  <c r="V11" i="41"/>
  <c r="N11" i="41"/>
  <c r="F11" i="41"/>
  <c r="AH11" i="41"/>
  <c r="J11" i="41"/>
  <c r="AM11" i="41"/>
  <c r="AE11" i="41"/>
  <c r="W11" i="41"/>
  <c r="AK11" i="41"/>
  <c r="AC11" i="41"/>
  <c r="U11" i="41"/>
  <c r="M11" i="41"/>
  <c r="G11" i="41"/>
  <c r="AR11" i="41"/>
  <c r="AJ11" i="41"/>
  <c r="AB11" i="41"/>
  <c r="T11" i="41"/>
  <c r="L11" i="41"/>
  <c r="O35" i="23"/>
  <c r="O41" i="23"/>
  <c r="O37" i="23"/>
  <c r="M45" i="23"/>
  <c r="M64" i="23"/>
  <c r="N63" i="23"/>
  <c r="M46" i="23"/>
  <c r="M65" i="23"/>
  <c r="L59" i="23"/>
  <c r="L60" i="23"/>
  <c r="K68" i="24"/>
  <c r="K74" i="24"/>
  <c r="M31" i="23"/>
  <c r="M30" i="23"/>
  <c r="G75" i="24"/>
  <c r="L53" i="24"/>
  <c r="L67" i="24"/>
  <c r="I75" i="24"/>
  <c r="N48" i="21"/>
  <c r="N45" i="21"/>
  <c r="N46" i="21"/>
  <c r="N47" i="21"/>
  <c r="I69" i="24"/>
  <c r="F74" i="24"/>
  <c r="F75" i="24"/>
  <c r="G69" i="24"/>
  <c r="J75" i="24"/>
  <c r="L40" i="24"/>
  <c r="L42" i="24"/>
  <c r="AB11" i="35"/>
  <c r="AB76" i="35"/>
  <c r="AB43" i="2"/>
  <c r="J69" i="24"/>
  <c r="T11" i="35"/>
  <c r="T77" i="35"/>
  <c r="T63" i="2"/>
  <c r="L11" i="35"/>
  <c r="L77" i="35"/>
  <c r="L63" i="2"/>
  <c r="M22" i="24"/>
  <c r="M41" i="24"/>
  <c r="M47" i="24"/>
  <c r="N58" i="23"/>
  <c r="AR11" i="35"/>
  <c r="AR77" i="35"/>
  <c r="AJ11" i="35"/>
  <c r="AJ77" i="35"/>
  <c r="AJ63" i="2"/>
  <c r="AQ11" i="35"/>
  <c r="AI11" i="35"/>
  <c r="AA11" i="35"/>
  <c r="S11" i="35"/>
  <c r="K11" i="35"/>
  <c r="AP11" i="35"/>
  <c r="AH11" i="35"/>
  <c r="Z11" i="35"/>
  <c r="R11" i="35"/>
  <c r="J11" i="35"/>
  <c r="AO11" i="35"/>
  <c r="AG11" i="35"/>
  <c r="Y11" i="35"/>
  <c r="Q11" i="35"/>
  <c r="I11" i="35"/>
  <c r="AN11" i="35"/>
  <c r="AF11" i="35"/>
  <c r="X11" i="35"/>
  <c r="P11" i="35"/>
  <c r="H11" i="35"/>
  <c r="AM11" i="35"/>
  <c r="AE11" i="35"/>
  <c r="W11" i="35"/>
  <c r="O11" i="35"/>
  <c r="F11" i="35"/>
  <c r="AL11" i="35"/>
  <c r="AD11" i="35"/>
  <c r="V11" i="35"/>
  <c r="N11" i="35"/>
  <c r="G11" i="35"/>
  <c r="AK11" i="35"/>
  <c r="AC11" i="35"/>
  <c r="U11" i="35"/>
  <c r="M11" i="35"/>
  <c r="O72" i="2"/>
  <c r="O80" i="2"/>
  <c r="O92" i="2"/>
  <c r="P40" i="2"/>
  <c r="P60" i="2"/>
  <c r="O52" i="2"/>
  <c r="AB11" i="29"/>
  <c r="AB100" i="29"/>
  <c r="AB84" i="2"/>
  <c r="AK11" i="33"/>
  <c r="AC11" i="33"/>
  <c r="U11" i="33"/>
  <c r="M11" i="33"/>
  <c r="AA11" i="29"/>
  <c r="AR11" i="33"/>
  <c r="AJ11" i="33"/>
  <c r="AB11" i="33"/>
  <c r="T11" i="33"/>
  <c r="L11" i="33"/>
  <c r="AR11" i="29"/>
  <c r="AR100" i="29"/>
  <c r="AR84" i="2"/>
  <c r="U11" i="29"/>
  <c r="U98" i="29"/>
  <c r="U44" i="2"/>
  <c r="AQ11" i="33"/>
  <c r="AI11" i="33"/>
  <c r="AA11" i="33"/>
  <c r="S11" i="33"/>
  <c r="K11" i="33"/>
  <c r="AQ11" i="29"/>
  <c r="AQ100" i="29"/>
  <c r="AQ84" i="2"/>
  <c r="T11" i="29"/>
  <c r="T100" i="29"/>
  <c r="T84" i="2"/>
  <c r="AP11" i="33"/>
  <c r="AH11" i="33"/>
  <c r="Z11" i="33"/>
  <c r="R11" i="33"/>
  <c r="J11" i="33"/>
  <c r="AK11" i="29"/>
  <c r="AK100" i="29"/>
  <c r="AK84" i="2"/>
  <c r="S11" i="29"/>
  <c r="S100" i="29"/>
  <c r="S84" i="2"/>
  <c r="AO11" i="33"/>
  <c r="AG11" i="33"/>
  <c r="Y11" i="33"/>
  <c r="Q11" i="33"/>
  <c r="I11" i="33"/>
  <c r="AJ11" i="29"/>
  <c r="AJ100" i="29"/>
  <c r="AJ84" i="2"/>
  <c r="M11" i="29"/>
  <c r="M100" i="29"/>
  <c r="M84" i="2"/>
  <c r="AN11" i="33"/>
  <c r="AF11" i="33"/>
  <c r="X11" i="33"/>
  <c r="P11" i="33"/>
  <c r="H11" i="33"/>
  <c r="K42" i="24"/>
  <c r="AI11" i="29"/>
  <c r="AI100" i="29"/>
  <c r="AI84" i="2"/>
  <c r="L11" i="29"/>
  <c r="L100" i="29"/>
  <c r="L84" i="2"/>
  <c r="AM11" i="33"/>
  <c r="AE11" i="33"/>
  <c r="W11" i="33"/>
  <c r="O11" i="33"/>
  <c r="G11" i="33"/>
  <c r="AC11" i="29"/>
  <c r="K11" i="29"/>
  <c r="K100" i="29"/>
  <c r="K84" i="2"/>
  <c r="AL11" i="33"/>
  <c r="AD11" i="33"/>
  <c r="V11" i="33"/>
  <c r="N11" i="33"/>
  <c r="F11" i="33"/>
  <c r="AP11" i="29"/>
  <c r="AP100" i="29"/>
  <c r="AP84" i="2"/>
  <c r="AH11" i="29"/>
  <c r="AH100" i="29"/>
  <c r="AH84" i="2"/>
  <c r="Z11" i="29"/>
  <c r="Z100" i="29"/>
  <c r="Z84" i="2"/>
  <c r="R11" i="29"/>
  <c r="R100" i="29"/>
  <c r="R84" i="2"/>
  <c r="J11" i="29"/>
  <c r="J100" i="29"/>
  <c r="J84" i="2"/>
  <c r="AO11" i="29"/>
  <c r="AO100" i="29"/>
  <c r="AO84" i="2"/>
  <c r="AG11" i="29"/>
  <c r="AG100" i="29"/>
  <c r="AG84" i="2"/>
  <c r="Y11" i="29"/>
  <c r="Y100" i="29"/>
  <c r="Y84" i="2"/>
  <c r="Q11" i="29"/>
  <c r="Q100" i="29"/>
  <c r="Q84" i="2"/>
  <c r="I11" i="29"/>
  <c r="I100" i="29"/>
  <c r="I84" i="2"/>
  <c r="AN11" i="29"/>
  <c r="AN100" i="29"/>
  <c r="AN84" i="2"/>
  <c r="AF11" i="29"/>
  <c r="AF100" i="29"/>
  <c r="AF84" i="2"/>
  <c r="X11" i="29"/>
  <c r="X100" i="29"/>
  <c r="X84" i="2"/>
  <c r="P11" i="29"/>
  <c r="P100" i="29"/>
  <c r="P84" i="2"/>
  <c r="H11" i="29"/>
  <c r="H100" i="29"/>
  <c r="H84" i="2"/>
  <c r="AM11" i="29"/>
  <c r="AM100" i="29"/>
  <c r="AM84" i="2"/>
  <c r="AE11" i="29"/>
  <c r="AE100" i="29"/>
  <c r="AE84" i="2"/>
  <c r="W11" i="29"/>
  <c r="W100" i="29"/>
  <c r="W84" i="2"/>
  <c r="O11" i="29"/>
  <c r="O100" i="29"/>
  <c r="O84" i="2"/>
  <c r="G11" i="29"/>
  <c r="G100" i="29"/>
  <c r="G84" i="2"/>
  <c r="AL11" i="29"/>
  <c r="AL100" i="29"/>
  <c r="AL84" i="2"/>
  <c r="AD11" i="29"/>
  <c r="AD100" i="29"/>
  <c r="AD84" i="2"/>
  <c r="V11" i="29"/>
  <c r="V100" i="29"/>
  <c r="V84" i="2"/>
  <c r="N11" i="29"/>
  <c r="N100" i="29"/>
  <c r="N84" i="2"/>
  <c r="F11" i="29"/>
  <c r="F100" i="29"/>
  <c r="F84" i="2"/>
  <c r="AN11" i="24"/>
  <c r="AA11" i="28"/>
  <c r="S11" i="28"/>
  <c r="Z11" i="28"/>
  <c r="R11" i="28"/>
  <c r="AF11" i="24"/>
  <c r="AQ11" i="28"/>
  <c r="K11" i="28"/>
  <c r="AP11" i="28"/>
  <c r="J11" i="28"/>
  <c r="AI11" i="28"/>
  <c r="AH11" i="28"/>
  <c r="H11" i="24"/>
  <c r="H80" i="24"/>
  <c r="H61" i="2"/>
  <c r="AO11" i="28"/>
  <c r="AG11" i="28"/>
  <c r="Y11" i="28"/>
  <c r="Q11" i="28"/>
  <c r="I11" i="28"/>
  <c r="AM11" i="26"/>
  <c r="AN11" i="28"/>
  <c r="AF11" i="28"/>
  <c r="X11" i="28"/>
  <c r="P11" i="28"/>
  <c r="H11" i="28"/>
  <c r="AM11" i="28"/>
  <c r="AE11" i="28"/>
  <c r="W11" i="28"/>
  <c r="O11" i="28"/>
  <c r="G11" i="28"/>
  <c r="F11" i="26"/>
  <c r="F13" i="26"/>
  <c r="AL11" i="28"/>
  <c r="AD11" i="28"/>
  <c r="V11" i="28"/>
  <c r="N11" i="28"/>
  <c r="F11" i="28"/>
  <c r="F13" i="28"/>
  <c r="O11" i="26"/>
  <c r="AK11" i="28"/>
  <c r="AC11" i="28"/>
  <c r="U11" i="28"/>
  <c r="M11" i="28"/>
  <c r="AR11" i="28"/>
  <c r="AJ11" i="28"/>
  <c r="AB11" i="28"/>
  <c r="T11" i="28"/>
  <c r="L11" i="28"/>
  <c r="AM11" i="24"/>
  <c r="G11" i="24"/>
  <c r="G43" i="24"/>
  <c r="N11" i="26"/>
  <c r="AE11" i="24"/>
  <c r="AL11" i="26"/>
  <c r="G11" i="26"/>
  <c r="K11" i="21"/>
  <c r="X11" i="24"/>
  <c r="AE11" i="26"/>
  <c r="K11" i="23"/>
  <c r="W11" i="24"/>
  <c r="AD11" i="26"/>
  <c r="N11" i="23"/>
  <c r="G11" i="21"/>
  <c r="P11" i="24"/>
  <c r="W11" i="26"/>
  <c r="M15" i="21"/>
  <c r="M60" i="21"/>
  <c r="L11" i="21"/>
  <c r="G11" i="23"/>
  <c r="O11" i="24"/>
  <c r="V11" i="26"/>
  <c r="J11" i="21"/>
  <c r="F11" i="21"/>
  <c r="F13" i="21"/>
  <c r="AL11" i="24"/>
  <c r="AD11" i="24"/>
  <c r="V11" i="24"/>
  <c r="N11" i="24"/>
  <c r="F11" i="24"/>
  <c r="F43" i="24"/>
  <c r="AK11" i="26"/>
  <c r="AC11" i="26"/>
  <c r="U11" i="26"/>
  <c r="M11" i="26"/>
  <c r="K73" i="24"/>
  <c r="J11" i="23"/>
  <c r="F11" i="23"/>
  <c r="AK11" i="24"/>
  <c r="AC11" i="24"/>
  <c r="U11" i="24"/>
  <c r="M11" i="24"/>
  <c r="AR11" i="26"/>
  <c r="AJ11" i="26"/>
  <c r="AB11" i="26"/>
  <c r="T11" i="26"/>
  <c r="L11" i="26"/>
  <c r="L47" i="24"/>
  <c r="M11" i="21"/>
  <c r="I11" i="21"/>
  <c r="AJ11" i="24"/>
  <c r="AB11" i="24"/>
  <c r="L11" i="24"/>
  <c r="AQ11" i="26"/>
  <c r="AI11" i="26"/>
  <c r="AA11" i="26"/>
  <c r="S11" i="26"/>
  <c r="K11" i="26"/>
  <c r="AR11" i="24"/>
  <c r="T11" i="24"/>
  <c r="H11" i="21"/>
  <c r="AQ11" i="24"/>
  <c r="AI11" i="24"/>
  <c r="AA11" i="24"/>
  <c r="S11" i="24"/>
  <c r="K11" i="24"/>
  <c r="AP11" i="26"/>
  <c r="AH11" i="26"/>
  <c r="V24" i="10"/>
  <c r="Z11" i="26"/>
  <c r="R11" i="26"/>
  <c r="J11" i="26"/>
  <c r="AP11" i="24"/>
  <c r="AH11" i="24"/>
  <c r="R11" i="24"/>
  <c r="J11" i="24"/>
  <c r="J43" i="24"/>
  <c r="AO11" i="26"/>
  <c r="AG11" i="26"/>
  <c r="Y11" i="26"/>
  <c r="Q11" i="26"/>
  <c r="I11" i="26"/>
  <c r="M11" i="23"/>
  <c r="I11" i="23"/>
  <c r="Z11" i="24"/>
  <c r="L11" i="23"/>
  <c r="H11" i="23"/>
  <c r="AO11" i="24"/>
  <c r="AG11" i="24"/>
  <c r="Y11" i="24"/>
  <c r="Q11" i="24"/>
  <c r="I11" i="24"/>
  <c r="I43" i="24"/>
  <c r="AN11" i="26"/>
  <c r="AF11" i="26"/>
  <c r="X11" i="26"/>
  <c r="P11" i="26"/>
  <c r="O51" i="23"/>
  <c r="O53" i="23"/>
  <c r="O20" i="23"/>
  <c r="O26" i="23"/>
  <c r="O22" i="23"/>
  <c r="O9" i="23"/>
  <c r="O11" i="23"/>
  <c r="P7" i="23"/>
  <c r="N10" i="21"/>
  <c r="N17" i="21"/>
  <c r="N11" i="21"/>
  <c r="M17" i="21"/>
  <c r="M32" i="21"/>
  <c r="F22" i="22"/>
  <c r="F23" i="22"/>
  <c r="G22" i="22"/>
  <c r="G23" i="22"/>
  <c r="H22" i="22"/>
  <c r="H23" i="22"/>
  <c r="I22" i="22"/>
  <c r="I23" i="22"/>
  <c r="J22" i="22"/>
  <c r="J23" i="22"/>
  <c r="K22" i="22"/>
  <c r="K23" i="22"/>
  <c r="L22" i="22"/>
  <c r="L23" i="22"/>
  <c r="M22" i="22"/>
  <c r="M23" i="22"/>
  <c r="M27" i="22"/>
  <c r="M45" i="22"/>
  <c r="M11" i="22"/>
  <c r="L11" i="22"/>
  <c r="N11" i="22"/>
  <c r="I11" i="22"/>
  <c r="N22" i="22"/>
  <c r="N23" i="22"/>
  <c r="N27" i="22"/>
  <c r="N45" i="22"/>
  <c r="J11" i="22"/>
  <c r="K11" i="22"/>
  <c r="O22" i="22"/>
  <c r="O23" i="22"/>
  <c r="L36" i="21"/>
  <c r="K36" i="21"/>
  <c r="M49" i="21"/>
  <c r="H11" i="22"/>
  <c r="G11" i="22"/>
  <c r="F11" i="22"/>
  <c r="F13" i="22"/>
  <c r="O11" i="22"/>
  <c r="P7" i="22"/>
  <c r="O9" i="22"/>
  <c r="N9" i="21"/>
  <c r="O7" i="21"/>
  <c r="O57" i="21"/>
  <c r="M31" i="21"/>
  <c r="L31" i="21"/>
  <c r="L30" i="21"/>
  <c r="N35" i="21"/>
  <c r="N27" i="21"/>
  <c r="I70" i="24"/>
  <c r="G70" i="24"/>
  <c r="J70" i="24"/>
  <c r="F70" i="24"/>
  <c r="H70" i="24"/>
  <c r="K43" i="24"/>
  <c r="H43" i="24"/>
  <c r="L43" i="24"/>
  <c r="F14" i="23"/>
  <c r="F12" i="23"/>
  <c r="F77" i="23"/>
  <c r="F13" i="41"/>
  <c r="G13" i="41"/>
  <c r="H13" i="41"/>
  <c r="I13" i="41"/>
  <c r="J13" i="41"/>
  <c r="K13" i="41"/>
  <c r="L13" i="41"/>
  <c r="M13" i="41"/>
  <c r="N13" i="41"/>
  <c r="O13" i="41"/>
  <c r="P13" i="41"/>
  <c r="Q13" i="41"/>
  <c r="R13" i="41"/>
  <c r="S13" i="41"/>
  <c r="T13" i="41"/>
  <c r="U13" i="41"/>
  <c r="V13" i="41"/>
  <c r="W13" i="41"/>
  <c r="X13" i="41"/>
  <c r="Y13" i="41"/>
  <c r="Z13" i="41"/>
  <c r="AA13" i="41"/>
  <c r="AB13" i="41"/>
  <c r="AC13" i="41"/>
  <c r="AD13" i="41"/>
  <c r="AE13" i="41"/>
  <c r="AF13" i="41"/>
  <c r="AG13" i="41"/>
  <c r="AH13" i="41"/>
  <c r="AI13" i="41"/>
  <c r="AJ13" i="41"/>
  <c r="AK13" i="41"/>
  <c r="AL13" i="41"/>
  <c r="AM13" i="41"/>
  <c r="AN13" i="41"/>
  <c r="AO13" i="41"/>
  <c r="AP13" i="41"/>
  <c r="AQ13" i="41"/>
  <c r="AR13" i="41"/>
  <c r="O63" i="23"/>
  <c r="N46" i="23"/>
  <c r="N65" i="23"/>
  <c r="N45" i="23"/>
  <c r="N64" i="23"/>
  <c r="P35" i="23"/>
  <c r="P41" i="23"/>
  <c r="P37" i="23"/>
  <c r="K69" i="24"/>
  <c r="K70" i="24"/>
  <c r="K75" i="24"/>
  <c r="K80" i="24"/>
  <c r="K61" i="2"/>
  <c r="M59" i="23"/>
  <c r="M60" i="23"/>
  <c r="N31" i="23"/>
  <c r="N30" i="23"/>
  <c r="G81" i="24"/>
  <c r="G81" i="2"/>
  <c r="L46" i="24"/>
  <c r="L48" i="24"/>
  <c r="AB77" i="35"/>
  <c r="AB63" i="2"/>
  <c r="AB78" i="35"/>
  <c r="AB83" i="2"/>
  <c r="L68" i="24"/>
  <c r="L69" i="24"/>
  <c r="L70" i="24"/>
  <c r="T76" i="35"/>
  <c r="T43" i="2"/>
  <c r="O48" i="21"/>
  <c r="O46" i="21"/>
  <c r="O47" i="21"/>
  <c r="O45" i="21"/>
  <c r="M40" i="24"/>
  <c r="M42" i="24"/>
  <c r="M43" i="24"/>
  <c r="T78" i="35"/>
  <c r="T83" i="2"/>
  <c r="N22" i="24"/>
  <c r="N41" i="24"/>
  <c r="N47" i="24"/>
  <c r="O58" i="23"/>
  <c r="L78" i="35"/>
  <c r="L83" i="2"/>
  <c r="AB99" i="29"/>
  <c r="AB64" i="2"/>
  <c r="AR78" i="35"/>
  <c r="AR83" i="2"/>
  <c r="L76" i="35"/>
  <c r="L43" i="2"/>
  <c r="M98" i="29"/>
  <c r="M44" i="2"/>
  <c r="AR76" i="35"/>
  <c r="AR43" i="2"/>
  <c r="AK98" i="29"/>
  <c r="AK44" i="2"/>
  <c r="S98" i="29"/>
  <c r="S44" i="2"/>
  <c r="AJ78" i="35"/>
  <c r="AJ83" i="2"/>
  <c r="S99" i="29"/>
  <c r="S64" i="2"/>
  <c r="AJ76" i="35"/>
  <c r="AJ43" i="2"/>
  <c r="K98" i="29"/>
  <c r="K44" i="2"/>
  <c r="AQ99" i="29"/>
  <c r="AQ64" i="2"/>
  <c r="AQ98" i="29"/>
  <c r="AQ44" i="2"/>
  <c r="AJ99" i="29"/>
  <c r="AJ64" i="2"/>
  <c r="AR99" i="29"/>
  <c r="AR64" i="2"/>
  <c r="AJ98" i="29"/>
  <c r="AJ44" i="2"/>
  <c r="AR98" i="29"/>
  <c r="AR44" i="2"/>
  <c r="T98" i="29"/>
  <c r="T44" i="2"/>
  <c r="AB98" i="29"/>
  <c r="AB44" i="2"/>
  <c r="T99" i="29"/>
  <c r="T64" i="2"/>
  <c r="K46" i="33"/>
  <c r="K67" i="2"/>
  <c r="K47" i="33"/>
  <c r="K87" i="2"/>
  <c r="K45" i="33"/>
  <c r="K47" i="2"/>
  <c r="AK47" i="33"/>
  <c r="AK87" i="2"/>
  <c r="AK45" i="33"/>
  <c r="AK47" i="2"/>
  <c r="AK46" i="33"/>
  <c r="AK67" i="2"/>
  <c r="Y77" i="35"/>
  <c r="Y63" i="2"/>
  <c r="Y78" i="35"/>
  <c r="Y83" i="2"/>
  <c r="Y76" i="35"/>
  <c r="Y43" i="2"/>
  <c r="J46" i="33"/>
  <c r="J67" i="2"/>
  <c r="J45" i="33"/>
  <c r="J47" i="2"/>
  <c r="J47" i="33"/>
  <c r="J87" i="2"/>
  <c r="S47" i="33"/>
  <c r="S87" i="2"/>
  <c r="S45" i="33"/>
  <c r="S47" i="2"/>
  <c r="S46" i="33"/>
  <c r="S67" i="2"/>
  <c r="AB45" i="33"/>
  <c r="AB47" i="2"/>
  <c r="AB46" i="33"/>
  <c r="AB67" i="2"/>
  <c r="AB47" i="33"/>
  <c r="AB87" i="2"/>
  <c r="AK76" i="35"/>
  <c r="AK43" i="2"/>
  <c r="AK78" i="35"/>
  <c r="AK83" i="2"/>
  <c r="AK77" i="35"/>
  <c r="AK63" i="2"/>
  <c r="AG78" i="35"/>
  <c r="AG83" i="2"/>
  <c r="AG76" i="35"/>
  <c r="AG43" i="2"/>
  <c r="AG77" i="35"/>
  <c r="AG63" i="2"/>
  <c r="Z78" i="35"/>
  <c r="Z83" i="2"/>
  <c r="Z76" i="35"/>
  <c r="Z43" i="2"/>
  <c r="Z77" i="35"/>
  <c r="Z63" i="2"/>
  <c r="S78" i="35"/>
  <c r="S83" i="2"/>
  <c r="S76" i="35"/>
  <c r="S43" i="2"/>
  <c r="S77" i="35"/>
  <c r="S63" i="2"/>
  <c r="AL45" i="33"/>
  <c r="AL47" i="2"/>
  <c r="AL46" i="33"/>
  <c r="AL67" i="2"/>
  <c r="AL47" i="33"/>
  <c r="AL87" i="2"/>
  <c r="AC98" i="29"/>
  <c r="AC44" i="2"/>
  <c r="AC100" i="29"/>
  <c r="AC84" i="2"/>
  <c r="I46" i="33"/>
  <c r="I67" i="2"/>
  <c r="I47" i="33"/>
  <c r="I87" i="2"/>
  <c r="I45" i="33"/>
  <c r="I47" i="2"/>
  <c r="R47" i="33"/>
  <c r="R87" i="2"/>
  <c r="R46" i="33"/>
  <c r="R67" i="2"/>
  <c r="R45" i="33"/>
  <c r="R47" i="2"/>
  <c r="AA45" i="33"/>
  <c r="AA47" i="2"/>
  <c r="AA47" i="33"/>
  <c r="AA87" i="2"/>
  <c r="AA46" i="33"/>
  <c r="AA67" i="2"/>
  <c r="AJ45" i="33"/>
  <c r="AJ47" i="2"/>
  <c r="AJ46" i="33"/>
  <c r="AJ67" i="2"/>
  <c r="AJ47" i="33"/>
  <c r="AJ87" i="2"/>
  <c r="G77" i="35"/>
  <c r="G63" i="2"/>
  <c r="G78" i="35"/>
  <c r="G83" i="2"/>
  <c r="G76" i="35"/>
  <c r="G43" i="2"/>
  <c r="AO77" i="35"/>
  <c r="AO63" i="2"/>
  <c r="AO78" i="35"/>
  <c r="AO83" i="2"/>
  <c r="AO76" i="35"/>
  <c r="AO43" i="2"/>
  <c r="AH78" i="35"/>
  <c r="AH83" i="2"/>
  <c r="AH77" i="35"/>
  <c r="AH63" i="2"/>
  <c r="AH76" i="35"/>
  <c r="AH43" i="2"/>
  <c r="AA78" i="35"/>
  <c r="AA83" i="2"/>
  <c r="AA76" i="35"/>
  <c r="AA43" i="2"/>
  <c r="AA77" i="35"/>
  <c r="AA63" i="2"/>
  <c r="R78" i="35"/>
  <c r="R83" i="2"/>
  <c r="R77" i="35"/>
  <c r="R63" i="2"/>
  <c r="R76" i="35"/>
  <c r="R43" i="2"/>
  <c r="L99" i="29"/>
  <c r="L64" i="2"/>
  <c r="G45" i="33"/>
  <c r="G47" i="2"/>
  <c r="G46" i="33"/>
  <c r="G67" i="2"/>
  <c r="G47" i="33"/>
  <c r="G87" i="2"/>
  <c r="H45" i="33"/>
  <c r="H47" i="2"/>
  <c r="H46" i="33"/>
  <c r="H67" i="2"/>
  <c r="H47" i="33"/>
  <c r="H87" i="2"/>
  <c r="Q46" i="33"/>
  <c r="Q67" i="2"/>
  <c r="Q47" i="33"/>
  <c r="Q87" i="2"/>
  <c r="Q45" i="33"/>
  <c r="Q47" i="2"/>
  <c r="Z46" i="33"/>
  <c r="Z67" i="2"/>
  <c r="Z47" i="33"/>
  <c r="Z87" i="2"/>
  <c r="Z45" i="33"/>
  <c r="Z47" i="2"/>
  <c r="AI47" i="33"/>
  <c r="AI87" i="2"/>
  <c r="AI46" i="33"/>
  <c r="AI67" i="2"/>
  <c r="AI45" i="33"/>
  <c r="AI47" i="2"/>
  <c r="AR45" i="33"/>
  <c r="AR47" i="2"/>
  <c r="AR47" i="33"/>
  <c r="AR87" i="2"/>
  <c r="AR46" i="33"/>
  <c r="AR67" i="2"/>
  <c r="N76" i="35"/>
  <c r="N43" i="2"/>
  <c r="N78" i="35"/>
  <c r="N83" i="2"/>
  <c r="N77" i="35"/>
  <c r="N63" i="2"/>
  <c r="F13" i="35"/>
  <c r="G13" i="35"/>
  <c r="H13" i="35"/>
  <c r="I13" i="35"/>
  <c r="J13" i="35"/>
  <c r="K13" i="35"/>
  <c r="L13" i="35"/>
  <c r="M13" i="35"/>
  <c r="N13" i="35"/>
  <c r="O13" i="35"/>
  <c r="P13"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F78" i="35"/>
  <c r="F83" i="2"/>
  <c r="F76" i="35"/>
  <c r="F43" i="2"/>
  <c r="F77" i="35"/>
  <c r="F63" i="2"/>
  <c r="AP78" i="35"/>
  <c r="AP83" i="2"/>
  <c r="AP77" i="35"/>
  <c r="AP63" i="2"/>
  <c r="AP76" i="35"/>
  <c r="AP43" i="2"/>
  <c r="AI78" i="35"/>
  <c r="AI83" i="2"/>
  <c r="AI76" i="35"/>
  <c r="AI43" i="2"/>
  <c r="AI77" i="35"/>
  <c r="AI63" i="2"/>
  <c r="T45" i="33"/>
  <c r="T47" i="2"/>
  <c r="T46" i="33"/>
  <c r="T67" i="2"/>
  <c r="T47" i="33"/>
  <c r="T87" i="2"/>
  <c r="K78" i="35"/>
  <c r="K83" i="2"/>
  <c r="K77" i="35"/>
  <c r="K63" i="2"/>
  <c r="K76" i="35"/>
  <c r="K43" i="2"/>
  <c r="L98" i="29"/>
  <c r="L44" i="2"/>
  <c r="F13" i="33"/>
  <c r="G13" i="33"/>
  <c r="H13" i="33"/>
  <c r="I13" i="33"/>
  <c r="J13" i="33"/>
  <c r="K13" i="33"/>
  <c r="L13" i="33"/>
  <c r="M13" i="33"/>
  <c r="N13" i="33"/>
  <c r="O13" i="33"/>
  <c r="P13" i="33"/>
  <c r="Q13" i="33"/>
  <c r="R13" i="33"/>
  <c r="S13" i="33"/>
  <c r="T13" i="33"/>
  <c r="U13" i="33"/>
  <c r="V13" i="33"/>
  <c r="W13" i="33"/>
  <c r="X13" i="33"/>
  <c r="Y13" i="33"/>
  <c r="Z13" i="33"/>
  <c r="AA13" i="33"/>
  <c r="AB13" i="33"/>
  <c r="AC13" i="33"/>
  <c r="AD13" i="33"/>
  <c r="AE13" i="33"/>
  <c r="AF13" i="33"/>
  <c r="AG13" i="33"/>
  <c r="AH13" i="33"/>
  <c r="AI13" i="33"/>
  <c r="AJ13" i="33"/>
  <c r="AK13" i="33"/>
  <c r="AL13" i="33"/>
  <c r="AM13" i="33"/>
  <c r="AN13" i="33"/>
  <c r="AO13" i="33"/>
  <c r="AP13" i="33"/>
  <c r="AQ13" i="33"/>
  <c r="AR13" i="33"/>
  <c r="F45" i="33"/>
  <c r="F47" i="2"/>
  <c r="F46" i="33"/>
  <c r="F67" i="2"/>
  <c r="F47" i="33"/>
  <c r="F87" i="2"/>
  <c r="O45" i="33"/>
  <c r="O47" i="2"/>
  <c r="O46" i="33"/>
  <c r="O67" i="2"/>
  <c r="O47" i="33"/>
  <c r="O87" i="2"/>
  <c r="P45" i="33"/>
  <c r="P47" i="2"/>
  <c r="P46" i="33"/>
  <c r="P67" i="2"/>
  <c r="P47" i="33"/>
  <c r="P87" i="2"/>
  <c r="Y47" i="33"/>
  <c r="Y87" i="2"/>
  <c r="Y46" i="33"/>
  <c r="Y67" i="2"/>
  <c r="Y45" i="33"/>
  <c r="Y47" i="2"/>
  <c r="AH46" i="33"/>
  <c r="AH67" i="2"/>
  <c r="AH45" i="33"/>
  <c r="AH47" i="2"/>
  <c r="AH47" i="33"/>
  <c r="AH87" i="2"/>
  <c r="AQ45" i="33"/>
  <c r="AQ47" i="2"/>
  <c r="AQ46" i="33"/>
  <c r="AQ67" i="2"/>
  <c r="AQ47" i="33"/>
  <c r="AQ87" i="2"/>
  <c r="AA98" i="29"/>
  <c r="AA44" i="2"/>
  <c r="AA100" i="29"/>
  <c r="AA84" i="2"/>
  <c r="V78" i="35"/>
  <c r="V83" i="2"/>
  <c r="V76" i="35"/>
  <c r="V43" i="2"/>
  <c r="V77" i="35"/>
  <c r="V63" i="2"/>
  <c r="O77" i="35"/>
  <c r="O63" i="2"/>
  <c r="O76" i="35"/>
  <c r="O43" i="2"/>
  <c r="O78" i="35"/>
  <c r="O83" i="2"/>
  <c r="H77" i="35"/>
  <c r="H63" i="2"/>
  <c r="H78" i="35"/>
  <c r="H83" i="2"/>
  <c r="H76" i="35"/>
  <c r="H43" i="2"/>
  <c r="AQ76" i="35"/>
  <c r="AQ43" i="2"/>
  <c r="AQ78" i="35"/>
  <c r="AQ83" i="2"/>
  <c r="AQ77" i="35"/>
  <c r="AQ63" i="2"/>
  <c r="AC77" i="35"/>
  <c r="AC63" i="2"/>
  <c r="AC76" i="35"/>
  <c r="AC43" i="2"/>
  <c r="AC78" i="35"/>
  <c r="AC83" i="2"/>
  <c r="AI99" i="29"/>
  <c r="AI64" i="2"/>
  <c r="N45" i="33"/>
  <c r="N47" i="2"/>
  <c r="N47" i="33"/>
  <c r="N87" i="2"/>
  <c r="N46" i="33"/>
  <c r="N67" i="2"/>
  <c r="W46" i="33"/>
  <c r="W67" i="2"/>
  <c r="W47" i="33"/>
  <c r="W87" i="2"/>
  <c r="W45" i="33"/>
  <c r="W47" i="2"/>
  <c r="X45" i="33"/>
  <c r="X47" i="2"/>
  <c r="X47" i="33"/>
  <c r="X87" i="2"/>
  <c r="X46" i="33"/>
  <c r="X67" i="2"/>
  <c r="AG46" i="33"/>
  <c r="AG67" i="2"/>
  <c r="AG47" i="33"/>
  <c r="AG87" i="2"/>
  <c r="AG45" i="33"/>
  <c r="AG47" i="2"/>
  <c r="AP47" i="33"/>
  <c r="AP87" i="2"/>
  <c r="AP46" i="33"/>
  <c r="AP67" i="2"/>
  <c r="AP45" i="33"/>
  <c r="AP47" i="2"/>
  <c r="U99" i="29"/>
  <c r="U64" i="2"/>
  <c r="U100" i="29"/>
  <c r="U84" i="2"/>
  <c r="M45" i="33"/>
  <c r="M47" i="2"/>
  <c r="M46" i="33"/>
  <c r="M67" i="2"/>
  <c r="M47" i="33"/>
  <c r="M87" i="2"/>
  <c r="AD78" i="35"/>
  <c r="AD83" i="2"/>
  <c r="AD76" i="35"/>
  <c r="AD43" i="2"/>
  <c r="AD77" i="35"/>
  <c r="AD63" i="2"/>
  <c r="W78" i="35"/>
  <c r="W83" i="2"/>
  <c r="W76" i="35"/>
  <c r="W43" i="2"/>
  <c r="W77" i="35"/>
  <c r="W63" i="2"/>
  <c r="P78" i="35"/>
  <c r="P83" i="2"/>
  <c r="P76" i="35"/>
  <c r="P43" i="2"/>
  <c r="P77" i="35"/>
  <c r="P63" i="2"/>
  <c r="AN78" i="35"/>
  <c r="AN83" i="2"/>
  <c r="AN77" i="35"/>
  <c r="AN63" i="2"/>
  <c r="AN76" i="35"/>
  <c r="AN43" i="2"/>
  <c r="AI98" i="29"/>
  <c r="AI44" i="2"/>
  <c r="V45" i="33"/>
  <c r="V47" i="2"/>
  <c r="V46" i="33"/>
  <c r="V67" i="2"/>
  <c r="V47" i="33"/>
  <c r="V87" i="2"/>
  <c r="AE47" i="33"/>
  <c r="AE87" i="2"/>
  <c r="AE46" i="33"/>
  <c r="AE67" i="2"/>
  <c r="AE45" i="33"/>
  <c r="AE47" i="2"/>
  <c r="AF46" i="33"/>
  <c r="AF67" i="2"/>
  <c r="AF47" i="33"/>
  <c r="AF87" i="2"/>
  <c r="AF45" i="33"/>
  <c r="AF47" i="2"/>
  <c r="AO45" i="33"/>
  <c r="AO47" i="2"/>
  <c r="AO46" i="33"/>
  <c r="AO67" i="2"/>
  <c r="AO47" i="33"/>
  <c r="AO87" i="2"/>
  <c r="U45" i="33"/>
  <c r="U47" i="2"/>
  <c r="U46" i="33"/>
  <c r="U67" i="2"/>
  <c r="U47" i="33"/>
  <c r="U87" i="2"/>
  <c r="M78" i="35"/>
  <c r="M83" i="2"/>
  <c r="M77" i="35"/>
  <c r="M63" i="2"/>
  <c r="M76" i="35"/>
  <c r="M43" i="2"/>
  <c r="AL76" i="35"/>
  <c r="AL43" i="2"/>
  <c r="AL78" i="35"/>
  <c r="AL83" i="2"/>
  <c r="AL77" i="35"/>
  <c r="AL63" i="2"/>
  <c r="AE76" i="35"/>
  <c r="AE43" i="2"/>
  <c r="AE77" i="35"/>
  <c r="AE63" i="2"/>
  <c r="AE78" i="35"/>
  <c r="AE83" i="2"/>
  <c r="X78" i="35"/>
  <c r="X83" i="2"/>
  <c r="X76" i="35"/>
  <c r="X43" i="2"/>
  <c r="X77" i="35"/>
  <c r="X63" i="2"/>
  <c r="I78" i="35"/>
  <c r="I83" i="2"/>
  <c r="I77" i="35"/>
  <c r="I63" i="2"/>
  <c r="I76" i="35"/>
  <c r="I43" i="2"/>
  <c r="AR63" i="2"/>
  <c r="K99" i="29"/>
  <c r="K64" i="2"/>
  <c r="M99" i="29"/>
  <c r="M64" i="2"/>
  <c r="AK99" i="29"/>
  <c r="AK64" i="2"/>
  <c r="AD45" i="33"/>
  <c r="AD47" i="2"/>
  <c r="AD46" i="33"/>
  <c r="AD67" i="2"/>
  <c r="AD47" i="33"/>
  <c r="AD87" i="2"/>
  <c r="AM47" i="33"/>
  <c r="AM87" i="2"/>
  <c r="AM46" i="33"/>
  <c r="AM67" i="2"/>
  <c r="AM45" i="33"/>
  <c r="AM47" i="2"/>
  <c r="AN47" i="33"/>
  <c r="AN87" i="2"/>
  <c r="AN46" i="33"/>
  <c r="AN67" i="2"/>
  <c r="AN45" i="33"/>
  <c r="AN47" i="2"/>
  <c r="L45" i="33"/>
  <c r="L47" i="2"/>
  <c r="L47" i="33"/>
  <c r="L87" i="2"/>
  <c r="L46" i="33"/>
  <c r="L67" i="2"/>
  <c r="AC47" i="33"/>
  <c r="AC87" i="2"/>
  <c r="AC45" i="33"/>
  <c r="AC47" i="2"/>
  <c r="AC46" i="33"/>
  <c r="AC67" i="2"/>
  <c r="U76" i="35"/>
  <c r="U43" i="2"/>
  <c r="U77" i="35"/>
  <c r="U63" i="2"/>
  <c r="U78" i="35"/>
  <c r="U83" i="2"/>
  <c r="AM77" i="35"/>
  <c r="AM63" i="2"/>
  <c r="AM78" i="35"/>
  <c r="AM83" i="2"/>
  <c r="AM76" i="35"/>
  <c r="AM43" i="2"/>
  <c r="AF77" i="35"/>
  <c r="AF63" i="2"/>
  <c r="AF78" i="35"/>
  <c r="AF83" i="2"/>
  <c r="AF76" i="35"/>
  <c r="AF43" i="2"/>
  <c r="Q77" i="35"/>
  <c r="Q63" i="2"/>
  <c r="Q78" i="35"/>
  <c r="Q83" i="2"/>
  <c r="Q76" i="35"/>
  <c r="Q43" i="2"/>
  <c r="J76" i="35"/>
  <c r="J43" i="2"/>
  <c r="J77" i="35"/>
  <c r="J63" i="2"/>
  <c r="J78" i="35"/>
  <c r="J83" i="2"/>
  <c r="P72" i="2"/>
  <c r="P80" i="2"/>
  <c r="P92" i="2"/>
  <c r="Q40" i="2"/>
  <c r="Q60" i="2"/>
  <c r="P52" i="2"/>
  <c r="AA99" i="29"/>
  <c r="AA64" i="2"/>
  <c r="AC99" i="29"/>
  <c r="AC64" i="2"/>
  <c r="AL99" i="29"/>
  <c r="AL64" i="2"/>
  <c r="AL98" i="29"/>
  <c r="AL44" i="2"/>
  <c r="X98" i="29"/>
  <c r="X44" i="2"/>
  <c r="X99" i="29"/>
  <c r="X64" i="2"/>
  <c r="J99" i="29"/>
  <c r="J64" i="2"/>
  <c r="J98" i="29"/>
  <c r="J44" i="2"/>
  <c r="G98" i="29"/>
  <c r="G44" i="2"/>
  <c r="G99" i="29"/>
  <c r="G64" i="2"/>
  <c r="AF98" i="29"/>
  <c r="AF44" i="2"/>
  <c r="AF99" i="29"/>
  <c r="AF64" i="2"/>
  <c r="R99" i="29"/>
  <c r="R64" i="2"/>
  <c r="R98" i="29"/>
  <c r="R44" i="2"/>
  <c r="O99" i="29"/>
  <c r="O64" i="2"/>
  <c r="O98" i="29"/>
  <c r="O44" i="2"/>
  <c r="AN98" i="29"/>
  <c r="AN44" i="2"/>
  <c r="AN99" i="29"/>
  <c r="AN64" i="2"/>
  <c r="Z98" i="29"/>
  <c r="Z44" i="2"/>
  <c r="Z99" i="29"/>
  <c r="Z64" i="2"/>
  <c r="W99" i="29"/>
  <c r="W64" i="2"/>
  <c r="W98" i="29"/>
  <c r="W44" i="2"/>
  <c r="I99" i="29"/>
  <c r="I64" i="2"/>
  <c r="I98" i="29"/>
  <c r="I44" i="2"/>
  <c r="AH98" i="29"/>
  <c r="AH44" i="2"/>
  <c r="AH99" i="29"/>
  <c r="AH64" i="2"/>
  <c r="F13" i="29"/>
  <c r="G13" i="29"/>
  <c r="H13" i="29"/>
  <c r="I13" i="29"/>
  <c r="J13" i="29"/>
  <c r="K13" i="29"/>
  <c r="L13" i="29"/>
  <c r="M13" i="29"/>
  <c r="N13" i="29"/>
  <c r="O13" i="29"/>
  <c r="P13" i="29"/>
  <c r="Q13" i="29"/>
  <c r="R13" i="29"/>
  <c r="S13" i="29"/>
  <c r="T13" i="29"/>
  <c r="U13" i="29"/>
  <c r="V13" i="29"/>
  <c r="W13" i="29"/>
  <c r="X13" i="29"/>
  <c r="Y13" i="29"/>
  <c r="Z13" i="29"/>
  <c r="AA13" i="29"/>
  <c r="AB13" i="29"/>
  <c r="AC13" i="29"/>
  <c r="AD13" i="29"/>
  <c r="AE13" i="29"/>
  <c r="AF13" i="29"/>
  <c r="AG13" i="29"/>
  <c r="AH13" i="29"/>
  <c r="AI13" i="29"/>
  <c r="AJ13" i="29"/>
  <c r="AK13" i="29"/>
  <c r="AL13" i="29"/>
  <c r="AM13" i="29"/>
  <c r="AN13" i="29"/>
  <c r="AO13" i="29"/>
  <c r="AP13" i="29"/>
  <c r="AQ13" i="29"/>
  <c r="AR13" i="29"/>
  <c r="F98" i="29"/>
  <c r="F44" i="2"/>
  <c r="F99" i="29"/>
  <c r="F64" i="2"/>
  <c r="AE99" i="29"/>
  <c r="AE64" i="2"/>
  <c r="AE98" i="29"/>
  <c r="AE44" i="2"/>
  <c r="Q98" i="29"/>
  <c r="Q44" i="2"/>
  <c r="Q99" i="29"/>
  <c r="Q64" i="2"/>
  <c r="AP99" i="29"/>
  <c r="AP64" i="2"/>
  <c r="AP98" i="29"/>
  <c r="AP44" i="2"/>
  <c r="N99" i="29"/>
  <c r="N64" i="2"/>
  <c r="N98" i="29"/>
  <c r="N44" i="2"/>
  <c r="AM99" i="29"/>
  <c r="AM64" i="2"/>
  <c r="AM98" i="29"/>
  <c r="AM44" i="2"/>
  <c r="Y99" i="29"/>
  <c r="Y64" i="2"/>
  <c r="Y98" i="29"/>
  <c r="Y44" i="2"/>
  <c r="V99" i="29"/>
  <c r="V64" i="2"/>
  <c r="V98" i="29"/>
  <c r="V44" i="2"/>
  <c r="H98" i="29"/>
  <c r="H44" i="2"/>
  <c r="H99" i="29"/>
  <c r="H64" i="2"/>
  <c r="AG99" i="29"/>
  <c r="AG64" i="2"/>
  <c r="AG98" i="29"/>
  <c r="AG44" i="2"/>
  <c r="AD98" i="29"/>
  <c r="AD44" i="2"/>
  <c r="AD99" i="29"/>
  <c r="AD64" i="2"/>
  <c r="P98" i="29"/>
  <c r="P44" i="2"/>
  <c r="P99" i="29"/>
  <c r="P64" i="2"/>
  <c r="AO98" i="29"/>
  <c r="AO44" i="2"/>
  <c r="AO99" i="29"/>
  <c r="AO64" i="2"/>
  <c r="H81" i="24"/>
  <c r="H81" i="2"/>
  <c r="H79" i="24"/>
  <c r="H41" i="2"/>
  <c r="M30" i="21"/>
  <c r="G79" i="24"/>
  <c r="G41" i="2"/>
  <c r="G80" i="24"/>
  <c r="G61" i="2"/>
  <c r="N68" i="26"/>
  <c r="G13" i="28"/>
  <c r="H13" i="28"/>
  <c r="I13" i="28"/>
  <c r="J13" i="28"/>
  <c r="K13" i="28"/>
  <c r="L13" i="28"/>
  <c r="M13" i="28"/>
  <c r="N13" i="28"/>
  <c r="O13" i="28"/>
  <c r="P13" i="28"/>
  <c r="Q13" i="28"/>
  <c r="R13" i="28"/>
  <c r="S13" i="28"/>
  <c r="T13" i="28"/>
  <c r="U13" i="28"/>
  <c r="V13" i="28"/>
  <c r="W13" i="28"/>
  <c r="X13" i="28"/>
  <c r="Y13" i="28"/>
  <c r="Z13" i="28"/>
  <c r="AA13" i="28"/>
  <c r="AB13" i="28"/>
  <c r="AC13" i="28"/>
  <c r="AD13" i="28"/>
  <c r="AE13" i="28"/>
  <c r="AF13" i="28"/>
  <c r="AG13" i="28"/>
  <c r="AH13" i="28"/>
  <c r="AI13" i="28"/>
  <c r="AJ13" i="28"/>
  <c r="AK13" i="28"/>
  <c r="AL13" i="28"/>
  <c r="AM13" i="28"/>
  <c r="AN13" i="28"/>
  <c r="AO13" i="28"/>
  <c r="AP13" i="28"/>
  <c r="AQ13" i="28"/>
  <c r="AR13" i="28"/>
  <c r="G14" i="23"/>
  <c r="H14" i="23"/>
  <c r="I14" i="23"/>
  <c r="J14" i="23"/>
  <c r="K14" i="23"/>
  <c r="L14" i="23"/>
  <c r="M14" i="23"/>
  <c r="N14" i="23"/>
  <c r="O14" i="23"/>
  <c r="N26" i="22"/>
  <c r="N44" i="22"/>
  <c r="N16" i="21"/>
  <c r="N61" i="21"/>
  <c r="G13" i="26"/>
  <c r="H13" i="26"/>
  <c r="I13" i="26"/>
  <c r="J13" i="26"/>
  <c r="K13" i="26"/>
  <c r="L13" i="26"/>
  <c r="M13" i="26"/>
  <c r="N13" i="26"/>
  <c r="O13" i="26"/>
  <c r="P13" i="26"/>
  <c r="Q13" i="26"/>
  <c r="R13" i="26"/>
  <c r="S13" i="26"/>
  <c r="T13" i="26"/>
  <c r="U13" i="26"/>
  <c r="V13" i="26"/>
  <c r="W13" i="26"/>
  <c r="X13" i="26"/>
  <c r="Y13" i="26"/>
  <c r="Z13" i="26"/>
  <c r="AA13" i="26"/>
  <c r="AB13" i="26"/>
  <c r="AC13" i="26"/>
  <c r="AD13" i="26"/>
  <c r="AE13" i="26"/>
  <c r="AF13" i="26"/>
  <c r="AG13" i="26"/>
  <c r="AH13" i="26"/>
  <c r="AI13" i="26"/>
  <c r="AJ13" i="26"/>
  <c r="AK13" i="26"/>
  <c r="AL13" i="26"/>
  <c r="AM13" i="26"/>
  <c r="AN13" i="26"/>
  <c r="AO13" i="26"/>
  <c r="AP13" i="26"/>
  <c r="AQ13" i="26"/>
  <c r="AR13" i="26"/>
  <c r="F80" i="24"/>
  <c r="F61" i="2"/>
  <c r="J80" i="24"/>
  <c r="J61" i="2"/>
  <c r="J79" i="24"/>
  <c r="J41" i="2"/>
  <c r="F13" i="24"/>
  <c r="G13" i="24"/>
  <c r="H13" i="24"/>
  <c r="I13" i="24"/>
  <c r="J13" i="24"/>
  <c r="K13" i="24"/>
  <c r="L13" i="24"/>
  <c r="M13" i="24"/>
  <c r="N13" i="24"/>
  <c r="O13" i="24"/>
  <c r="P13" i="24"/>
  <c r="Q13" i="24"/>
  <c r="R13" i="24"/>
  <c r="S13" i="24"/>
  <c r="T13" i="24"/>
  <c r="U13" i="24"/>
  <c r="V13" i="24"/>
  <c r="W13" i="24"/>
  <c r="X13" i="24"/>
  <c r="Y13" i="24"/>
  <c r="Z13" i="24"/>
  <c r="AA13" i="24"/>
  <c r="AB13" i="24"/>
  <c r="AC13" i="24"/>
  <c r="AD13" i="24"/>
  <c r="AE13" i="24"/>
  <c r="AF13" i="24"/>
  <c r="AG13" i="24"/>
  <c r="AH13" i="24"/>
  <c r="AI13" i="24"/>
  <c r="AJ13" i="24"/>
  <c r="AK13" i="24"/>
  <c r="AL13" i="24"/>
  <c r="AM13" i="24"/>
  <c r="AN13" i="24"/>
  <c r="AO13" i="24"/>
  <c r="AP13" i="24"/>
  <c r="AQ13" i="24"/>
  <c r="AR13" i="24"/>
  <c r="F81" i="24"/>
  <c r="F81" i="2"/>
  <c r="F79" i="24"/>
  <c r="F41" i="2"/>
  <c r="I79" i="24"/>
  <c r="I41" i="2"/>
  <c r="I80" i="24"/>
  <c r="I61" i="2"/>
  <c r="I81" i="24"/>
  <c r="I81" i="2"/>
  <c r="L73" i="24"/>
  <c r="N53" i="24"/>
  <c r="J81" i="24"/>
  <c r="J81" i="2"/>
  <c r="P51" i="23"/>
  <c r="P53" i="23"/>
  <c r="P20" i="23"/>
  <c r="P26" i="23"/>
  <c r="P22" i="23"/>
  <c r="Q7" i="23"/>
  <c r="P9" i="23"/>
  <c r="P11" i="23"/>
  <c r="O10" i="21"/>
  <c r="O17" i="21"/>
  <c r="O11" i="21"/>
  <c r="P22" i="22"/>
  <c r="P23" i="22"/>
  <c r="N28" i="22"/>
  <c r="N46" i="22"/>
  <c r="J28" i="22"/>
  <c r="J46" i="22"/>
  <c r="J27" i="22"/>
  <c r="J45" i="22"/>
  <c r="J26" i="22"/>
  <c r="J44" i="22"/>
  <c r="M28" i="22"/>
  <c r="M46" i="22"/>
  <c r="I28" i="22"/>
  <c r="I46" i="22"/>
  <c r="I26" i="22"/>
  <c r="I44" i="22"/>
  <c r="I27" i="22"/>
  <c r="I45" i="22"/>
  <c r="H26" i="22"/>
  <c r="H44" i="22"/>
  <c r="H28" i="22"/>
  <c r="H46" i="22"/>
  <c r="H27" i="22"/>
  <c r="H45" i="22"/>
  <c r="M26" i="22"/>
  <c r="M44" i="22"/>
  <c r="G26" i="22"/>
  <c r="G44" i="22"/>
  <c r="G28" i="22"/>
  <c r="G46" i="22"/>
  <c r="G27" i="22"/>
  <c r="G45" i="22"/>
  <c r="F26" i="22"/>
  <c r="F44" i="22"/>
  <c r="F27" i="22"/>
  <c r="F45" i="22"/>
  <c r="F28" i="22"/>
  <c r="F46" i="22"/>
  <c r="L28" i="22"/>
  <c r="L46" i="22"/>
  <c r="L26" i="22"/>
  <c r="L44" i="22"/>
  <c r="L27" i="22"/>
  <c r="L45" i="22"/>
  <c r="K27" i="22"/>
  <c r="K45" i="22"/>
  <c r="K26" i="22"/>
  <c r="K44" i="22"/>
  <c r="K28" i="22"/>
  <c r="K46" i="22"/>
  <c r="K40" i="21"/>
  <c r="K72" i="21"/>
  <c r="K68" i="2"/>
  <c r="K39" i="21"/>
  <c r="K71" i="21"/>
  <c r="K48" i="2"/>
  <c r="K41" i="21"/>
  <c r="K73" i="21"/>
  <c r="K88" i="2"/>
  <c r="M36" i="21"/>
  <c r="L40" i="21"/>
  <c r="L72" i="21"/>
  <c r="L68" i="2"/>
  <c r="L41" i="21"/>
  <c r="L73" i="21"/>
  <c r="L88" i="2"/>
  <c r="L39" i="21"/>
  <c r="L71" i="21"/>
  <c r="L48" i="2"/>
  <c r="M61" i="21"/>
  <c r="M62" i="21"/>
  <c r="N49" i="21"/>
  <c r="N15" i="21"/>
  <c r="N30" i="21"/>
  <c r="N32" i="21"/>
  <c r="F33" i="22"/>
  <c r="F34" i="22"/>
  <c r="G13" i="22"/>
  <c r="G33" i="22"/>
  <c r="G34" i="22"/>
  <c r="O35" i="21"/>
  <c r="O27" i="21"/>
  <c r="O27" i="22"/>
  <c r="O45" i="22"/>
  <c r="O28" i="22"/>
  <c r="O46" i="22"/>
  <c r="O26" i="22"/>
  <c r="O44" i="22"/>
  <c r="P11" i="22"/>
  <c r="P9" i="22"/>
  <c r="Q7" i="22"/>
  <c r="G13" i="21"/>
  <c r="P7" i="21"/>
  <c r="P57" i="21"/>
  <c r="O9" i="21"/>
  <c r="G12" i="23"/>
  <c r="G77" i="23"/>
  <c r="F75" i="23"/>
  <c r="F76" i="23"/>
  <c r="F74" i="23"/>
  <c r="K81" i="24"/>
  <c r="K81" i="2"/>
  <c r="K79" i="24"/>
  <c r="K41" i="2"/>
  <c r="Q35" i="23"/>
  <c r="Q41" i="23"/>
  <c r="Q37" i="23"/>
  <c r="P63" i="23"/>
  <c r="O46" i="23"/>
  <c r="O65" i="23"/>
  <c r="O45" i="23"/>
  <c r="O64" i="23"/>
  <c r="N60" i="23"/>
  <c r="N59" i="23"/>
  <c r="M53" i="24"/>
  <c r="M68" i="26"/>
  <c r="O22" i="24"/>
  <c r="O41" i="24"/>
  <c r="O31" i="23"/>
  <c r="O30" i="23"/>
  <c r="L74" i="24"/>
  <c r="L75" i="24"/>
  <c r="L80" i="24"/>
  <c r="L61" i="2"/>
  <c r="P58" i="23"/>
  <c r="M46" i="24"/>
  <c r="M48" i="24"/>
  <c r="N40" i="24"/>
  <c r="N42" i="24"/>
  <c r="N43" i="24"/>
  <c r="P46" i="21"/>
  <c r="P48" i="21"/>
  <c r="P45" i="21"/>
  <c r="P47" i="21"/>
  <c r="D84" i="2"/>
  <c r="E16" i="2"/>
  <c r="D47" i="2"/>
  <c r="C19" i="2"/>
  <c r="D64" i="2"/>
  <c r="D16" i="2"/>
  <c r="K35" i="10"/>
  <c r="D44" i="2"/>
  <c r="C16" i="2"/>
  <c r="D77" i="35"/>
  <c r="D63" i="2"/>
  <c r="D15" i="2"/>
  <c r="K34" i="10"/>
  <c r="D76" i="35"/>
  <c r="D43" i="2"/>
  <c r="C15" i="2"/>
  <c r="D78" i="35"/>
  <c r="D87" i="2"/>
  <c r="E19" i="2"/>
  <c r="D83" i="2"/>
  <c r="E15" i="2"/>
  <c r="D67" i="2"/>
  <c r="D19" i="2"/>
  <c r="K37" i="10"/>
  <c r="Q72" i="2"/>
  <c r="Q80" i="2"/>
  <c r="Q92" i="2"/>
  <c r="R40" i="2"/>
  <c r="R60" i="2"/>
  <c r="Q52" i="2"/>
  <c r="N31" i="21"/>
  <c r="N68" i="24"/>
  <c r="N74" i="24"/>
  <c r="N67" i="24"/>
  <c r="P14" i="23"/>
  <c r="Q51" i="23"/>
  <c r="Q53" i="23"/>
  <c r="Q20" i="23"/>
  <c r="Q26" i="23"/>
  <c r="Q22" i="23"/>
  <c r="R7" i="23"/>
  <c r="Q11" i="23"/>
  <c r="Q9" i="23"/>
  <c r="O16" i="21"/>
  <c r="O61" i="21"/>
  <c r="P10" i="21"/>
  <c r="P16" i="21"/>
  <c r="P11" i="21"/>
  <c r="Q22" i="22"/>
  <c r="Q23" i="22"/>
  <c r="P27" i="22"/>
  <c r="P45" i="22"/>
  <c r="P28" i="22"/>
  <c r="P46" i="22"/>
  <c r="M39" i="21"/>
  <c r="M71" i="21"/>
  <c r="M48" i="2"/>
  <c r="M41" i="21"/>
  <c r="M73" i="21"/>
  <c r="M88" i="2"/>
  <c r="M40" i="21"/>
  <c r="M72" i="21"/>
  <c r="M68" i="2"/>
  <c r="N36" i="21"/>
  <c r="N62" i="21"/>
  <c r="O62" i="21"/>
  <c r="N60" i="21"/>
  <c r="O49" i="21"/>
  <c r="F39" i="22"/>
  <c r="F40" i="22"/>
  <c r="F38" i="22"/>
  <c r="H13" i="22"/>
  <c r="H33" i="22"/>
  <c r="H34" i="22"/>
  <c r="G39" i="22"/>
  <c r="G40" i="22"/>
  <c r="G38" i="22"/>
  <c r="Q9" i="22"/>
  <c r="R7" i="22"/>
  <c r="Q11" i="22"/>
  <c r="P26" i="22"/>
  <c r="P44" i="22"/>
  <c r="H13" i="21"/>
  <c r="Q7" i="21"/>
  <c r="Q57" i="21"/>
  <c r="P9" i="21"/>
  <c r="P35" i="21"/>
  <c r="P27" i="21"/>
  <c r="O15" i="21"/>
  <c r="O60" i="21"/>
  <c r="O32" i="21"/>
  <c r="F79" i="23"/>
  <c r="H12" i="23"/>
  <c r="H77" i="23"/>
  <c r="G76" i="23"/>
  <c r="G75" i="23"/>
  <c r="G74" i="23"/>
  <c r="Q63" i="23"/>
  <c r="P46" i="23"/>
  <c r="P65" i="23"/>
  <c r="P45" i="23"/>
  <c r="P64" i="23"/>
  <c r="R35" i="23"/>
  <c r="R41" i="23"/>
  <c r="R37" i="23"/>
  <c r="L35" i="10"/>
  <c r="F7" i="10"/>
  <c r="L34" i="10"/>
  <c r="F6" i="10"/>
  <c r="L37" i="10"/>
  <c r="F9" i="10"/>
  <c r="J34" i="10"/>
  <c r="J35" i="10"/>
  <c r="J37" i="10"/>
  <c r="O60" i="23"/>
  <c r="O40" i="24"/>
  <c r="O42" i="24"/>
  <c r="O43" i="24"/>
  <c r="O53" i="24"/>
  <c r="O68" i="24"/>
  <c r="O59" i="23"/>
  <c r="P31" i="23"/>
  <c r="P30" i="23"/>
  <c r="M68" i="24"/>
  <c r="M74" i="24"/>
  <c r="M67" i="24"/>
  <c r="O68" i="26"/>
  <c r="N46" i="24"/>
  <c r="N48" i="24"/>
  <c r="P22" i="24"/>
  <c r="P40" i="24"/>
  <c r="Q58" i="23"/>
  <c r="Q46" i="21"/>
  <c r="Q45" i="21"/>
  <c r="Q47" i="21"/>
  <c r="Q48" i="21"/>
  <c r="L81" i="24"/>
  <c r="L81" i="2"/>
  <c r="R72" i="2"/>
  <c r="R80" i="2"/>
  <c r="R92" i="2"/>
  <c r="S40" i="2"/>
  <c r="S60" i="2"/>
  <c r="R52" i="2"/>
  <c r="P17" i="21"/>
  <c r="P32" i="21"/>
  <c r="P68" i="26"/>
  <c r="Q14" i="23"/>
  <c r="P53" i="24"/>
  <c r="O47" i="24"/>
  <c r="N73" i="24"/>
  <c r="N69" i="24"/>
  <c r="N70" i="24"/>
  <c r="L79" i="24"/>
  <c r="L41" i="2"/>
  <c r="R51" i="23"/>
  <c r="R53" i="23"/>
  <c r="R20" i="23"/>
  <c r="R26" i="23"/>
  <c r="R22" i="23"/>
  <c r="R9" i="23"/>
  <c r="S7" i="23"/>
  <c r="R11" i="23"/>
  <c r="Q10" i="21"/>
  <c r="Q16" i="21"/>
  <c r="Q11" i="21"/>
  <c r="R22" i="22"/>
  <c r="R23" i="22"/>
  <c r="Q27" i="22"/>
  <c r="Q45" i="22"/>
  <c r="Q28" i="22"/>
  <c r="Q46" i="22"/>
  <c r="O36" i="21"/>
  <c r="N39" i="21"/>
  <c r="N71" i="21"/>
  <c r="N48" i="2"/>
  <c r="N40" i="21"/>
  <c r="N72" i="21"/>
  <c r="N68" i="2"/>
  <c r="N41" i="21"/>
  <c r="N73" i="21"/>
  <c r="N88" i="2"/>
  <c r="P61" i="21"/>
  <c r="P49" i="21"/>
  <c r="I13" i="22"/>
  <c r="I33" i="22"/>
  <c r="I34" i="22"/>
  <c r="H39" i="22"/>
  <c r="H40" i="22"/>
  <c r="H38" i="22"/>
  <c r="R11" i="22"/>
  <c r="S7" i="22"/>
  <c r="R9" i="22"/>
  <c r="Q26" i="22"/>
  <c r="Q44" i="22"/>
  <c r="Q9" i="21"/>
  <c r="Q35" i="21"/>
  <c r="Q27" i="21"/>
  <c r="R7" i="21"/>
  <c r="R57" i="21"/>
  <c r="I13" i="21"/>
  <c r="P31" i="21"/>
  <c r="P15" i="21"/>
  <c r="P60" i="21"/>
  <c r="O30" i="21"/>
  <c r="O31" i="21"/>
  <c r="F81" i="23"/>
  <c r="F30" i="41"/>
  <c r="F32" i="41"/>
  <c r="F34" i="41"/>
  <c r="F36" i="41"/>
  <c r="G79" i="23"/>
  <c r="I12" i="23"/>
  <c r="I77" i="23"/>
  <c r="H75" i="23"/>
  <c r="H74" i="23"/>
  <c r="H76" i="23"/>
  <c r="S35" i="23"/>
  <c r="S41" i="23"/>
  <c r="S37" i="23"/>
  <c r="R63" i="23"/>
  <c r="Q46" i="23"/>
  <c r="Q65" i="23"/>
  <c r="Q45" i="23"/>
  <c r="Q64" i="23"/>
  <c r="O46" i="24"/>
  <c r="O48" i="24"/>
  <c r="O67" i="24"/>
  <c r="O73" i="24"/>
  <c r="P59" i="23"/>
  <c r="P60" i="23"/>
  <c r="M73" i="24"/>
  <c r="M75" i="24"/>
  <c r="M69" i="24"/>
  <c r="M70" i="24"/>
  <c r="Q30" i="23"/>
  <c r="Q31" i="23"/>
  <c r="R58" i="23"/>
  <c r="Q22" i="24"/>
  <c r="Q40" i="24"/>
  <c r="P41" i="24"/>
  <c r="P47" i="24"/>
  <c r="Q15" i="21"/>
  <c r="Q30" i="21"/>
  <c r="R46" i="21"/>
  <c r="R45" i="21"/>
  <c r="R47" i="21"/>
  <c r="R48" i="21"/>
  <c r="S72" i="2"/>
  <c r="S80" i="2"/>
  <c r="S92" i="2"/>
  <c r="T40" i="2"/>
  <c r="T60" i="2"/>
  <c r="S52" i="2"/>
  <c r="R14" i="23"/>
  <c r="Q68" i="26"/>
  <c r="P46" i="24"/>
  <c r="Q53" i="24"/>
  <c r="P68" i="24"/>
  <c r="P74" i="24"/>
  <c r="P67" i="24"/>
  <c r="N75" i="24"/>
  <c r="N81" i="24"/>
  <c r="N81" i="2"/>
  <c r="O74" i="24"/>
  <c r="S51" i="23"/>
  <c r="S53" i="23"/>
  <c r="S20" i="23"/>
  <c r="S26" i="23"/>
  <c r="S22" i="23"/>
  <c r="S11" i="23"/>
  <c r="S9" i="23"/>
  <c r="T7" i="23"/>
  <c r="Q17" i="21"/>
  <c r="Q32" i="21"/>
  <c r="R10" i="21"/>
  <c r="R15" i="21"/>
  <c r="R11" i="21"/>
  <c r="S22" i="22"/>
  <c r="S23" i="22"/>
  <c r="R28" i="22"/>
  <c r="R46" i="22"/>
  <c r="R27" i="22"/>
  <c r="R45" i="22"/>
  <c r="J13" i="22"/>
  <c r="J33" i="22"/>
  <c r="J34" i="22"/>
  <c r="P36" i="21"/>
  <c r="O39" i="21"/>
  <c r="O71" i="21"/>
  <c r="O48" i="2"/>
  <c r="O40" i="21"/>
  <c r="O72" i="21"/>
  <c r="O68" i="2"/>
  <c r="O41" i="21"/>
  <c r="O73" i="21"/>
  <c r="O88" i="2"/>
  <c r="P62" i="21"/>
  <c r="Q49" i="21"/>
  <c r="I40" i="22"/>
  <c r="I39" i="22"/>
  <c r="I38" i="22"/>
  <c r="R35" i="21"/>
  <c r="R27" i="21"/>
  <c r="R26" i="22"/>
  <c r="R44" i="22"/>
  <c r="S9" i="22"/>
  <c r="T7" i="22"/>
  <c r="S11" i="22"/>
  <c r="Q31" i="21"/>
  <c r="S7" i="21"/>
  <c r="S57" i="21"/>
  <c r="R9" i="21"/>
  <c r="J13" i="21"/>
  <c r="P30" i="21"/>
  <c r="F42" i="41"/>
  <c r="F66" i="2"/>
  <c r="F41" i="41"/>
  <c r="F46" i="2"/>
  <c r="F43" i="41"/>
  <c r="F86" i="2"/>
  <c r="G81" i="23"/>
  <c r="G30" i="41"/>
  <c r="G32" i="41"/>
  <c r="G34" i="41"/>
  <c r="G36" i="41"/>
  <c r="H79" i="23"/>
  <c r="J12" i="23"/>
  <c r="J77" i="23"/>
  <c r="I75" i="23"/>
  <c r="I74" i="23"/>
  <c r="I76" i="23"/>
  <c r="S63" i="23"/>
  <c r="R46" i="23"/>
  <c r="R65" i="23"/>
  <c r="R45" i="23"/>
  <c r="R64" i="23"/>
  <c r="T41" i="23"/>
  <c r="T37" i="23"/>
  <c r="T35" i="23"/>
  <c r="Q60" i="21"/>
  <c r="O69" i="24"/>
  <c r="O70" i="24"/>
  <c r="Q59" i="23"/>
  <c r="Q60" i="23"/>
  <c r="R22" i="24"/>
  <c r="R41" i="24"/>
  <c r="R47" i="24"/>
  <c r="R31" i="23"/>
  <c r="R30" i="23"/>
  <c r="M80" i="24"/>
  <c r="M61" i="2"/>
  <c r="M79" i="24"/>
  <c r="M41" i="2"/>
  <c r="M81" i="24"/>
  <c r="M81" i="2"/>
  <c r="S58" i="23"/>
  <c r="Q41" i="24"/>
  <c r="Q47" i="24"/>
  <c r="P42" i="24"/>
  <c r="P43" i="24"/>
  <c r="S46" i="21"/>
  <c r="S45" i="21"/>
  <c r="S47" i="21"/>
  <c r="S48" i="21"/>
  <c r="S14" i="23"/>
  <c r="T72" i="2"/>
  <c r="T80" i="2"/>
  <c r="T92" i="2"/>
  <c r="U40" i="2"/>
  <c r="U60" i="2"/>
  <c r="T52" i="2"/>
  <c r="R16" i="21"/>
  <c r="R31" i="21"/>
  <c r="R17" i="21"/>
  <c r="R32" i="21"/>
  <c r="O75" i="24"/>
  <c r="O81" i="24"/>
  <c r="O81" i="2"/>
  <c r="N80" i="24"/>
  <c r="N61" i="2"/>
  <c r="P69" i="24"/>
  <c r="P70" i="24"/>
  <c r="P73" i="24"/>
  <c r="P75" i="24"/>
  <c r="N79" i="24"/>
  <c r="N41" i="2"/>
  <c r="Q46" i="24"/>
  <c r="Q67" i="24"/>
  <c r="Q68" i="24"/>
  <c r="Q74" i="24"/>
  <c r="P48" i="24"/>
  <c r="T51" i="23"/>
  <c r="T53" i="23"/>
  <c r="T20" i="23"/>
  <c r="T26" i="23"/>
  <c r="T22" i="23"/>
  <c r="U7" i="23"/>
  <c r="T9" i="23"/>
  <c r="T11" i="23"/>
  <c r="S10" i="21"/>
  <c r="S16" i="21"/>
  <c r="S11" i="21"/>
  <c r="K13" i="22"/>
  <c r="K33" i="22"/>
  <c r="K34" i="22"/>
  <c r="T22" i="22"/>
  <c r="T23" i="22"/>
  <c r="S28" i="22"/>
  <c r="S46" i="22"/>
  <c r="S27" i="22"/>
  <c r="S45" i="22"/>
  <c r="Q36" i="21"/>
  <c r="P40" i="21"/>
  <c r="P72" i="21"/>
  <c r="P68" i="2"/>
  <c r="P41" i="21"/>
  <c r="P73" i="21"/>
  <c r="P88" i="2"/>
  <c r="P39" i="21"/>
  <c r="P71" i="21"/>
  <c r="P48" i="2"/>
  <c r="Q62" i="21"/>
  <c r="Q61" i="21"/>
  <c r="R60" i="21"/>
  <c r="R49" i="21"/>
  <c r="J40" i="22"/>
  <c r="J38" i="22"/>
  <c r="J39" i="22"/>
  <c r="S26" i="22"/>
  <c r="S44" i="22"/>
  <c r="T11" i="22"/>
  <c r="T9" i="22"/>
  <c r="U7" i="22"/>
  <c r="S9" i="21"/>
  <c r="T7" i="21"/>
  <c r="T57" i="21"/>
  <c r="S35" i="21"/>
  <c r="S27" i="21"/>
  <c r="K13" i="21"/>
  <c r="R30" i="21"/>
  <c r="G43" i="41"/>
  <c r="G86" i="2"/>
  <c r="G41" i="41"/>
  <c r="G46" i="2"/>
  <c r="G42" i="41"/>
  <c r="G66" i="2"/>
  <c r="H81" i="23"/>
  <c r="H30" i="41"/>
  <c r="H32" i="41"/>
  <c r="H34" i="41"/>
  <c r="H36" i="41"/>
  <c r="I79" i="23"/>
  <c r="K12" i="23"/>
  <c r="K77" i="23"/>
  <c r="J75" i="23"/>
  <c r="J74" i="23"/>
  <c r="J76" i="23"/>
  <c r="U37" i="23"/>
  <c r="U41" i="23"/>
  <c r="U35" i="23"/>
  <c r="T63" i="23"/>
  <c r="S46" i="23"/>
  <c r="S65" i="23"/>
  <c r="S45" i="23"/>
  <c r="S64" i="23"/>
  <c r="R40" i="24"/>
  <c r="R46" i="24"/>
  <c r="R48" i="24"/>
  <c r="R60" i="23"/>
  <c r="R68" i="26"/>
  <c r="R59" i="23"/>
  <c r="S22" i="24"/>
  <c r="S40" i="24"/>
  <c r="S31" i="23"/>
  <c r="S30" i="23"/>
  <c r="T58" i="23"/>
  <c r="Q42" i="24"/>
  <c r="Q43" i="24"/>
  <c r="R53" i="24"/>
  <c r="R67" i="24"/>
  <c r="T14" i="23"/>
  <c r="T45" i="21"/>
  <c r="T47" i="21"/>
  <c r="T48" i="21"/>
  <c r="T46" i="21"/>
  <c r="U72" i="2"/>
  <c r="U80" i="2"/>
  <c r="U92" i="2"/>
  <c r="V40" i="2"/>
  <c r="V60" i="2"/>
  <c r="U52" i="2"/>
  <c r="O80" i="24"/>
  <c r="O61" i="2"/>
  <c r="O79" i="24"/>
  <c r="O41" i="2"/>
  <c r="P80" i="24"/>
  <c r="P61" i="2"/>
  <c r="Q48" i="24"/>
  <c r="Q73" i="24"/>
  <c r="Q69" i="24"/>
  <c r="Q70" i="24"/>
  <c r="S17" i="21"/>
  <c r="S32" i="21"/>
  <c r="S53" i="24"/>
  <c r="P79" i="24"/>
  <c r="P41" i="2"/>
  <c r="P81" i="24"/>
  <c r="P81" i="2"/>
  <c r="U51" i="23"/>
  <c r="U53" i="23"/>
  <c r="U20" i="23"/>
  <c r="U26" i="23"/>
  <c r="U22" i="23"/>
  <c r="V7" i="23"/>
  <c r="U9" i="23"/>
  <c r="U11" i="23"/>
  <c r="T10" i="21"/>
  <c r="T17" i="21"/>
  <c r="T11" i="21"/>
  <c r="U22" i="22"/>
  <c r="U23" i="22"/>
  <c r="L13" i="22"/>
  <c r="L33" i="22"/>
  <c r="L34" i="22"/>
  <c r="T28" i="22"/>
  <c r="T46" i="22"/>
  <c r="T27" i="22"/>
  <c r="T45" i="22"/>
  <c r="R36" i="21"/>
  <c r="Q41" i="21"/>
  <c r="Q73" i="21"/>
  <c r="Q88" i="2"/>
  <c r="Q39" i="21"/>
  <c r="Q71" i="21"/>
  <c r="Q48" i="2"/>
  <c r="Q40" i="21"/>
  <c r="Q72" i="21"/>
  <c r="Q68" i="2"/>
  <c r="R61" i="21"/>
  <c r="S61" i="21"/>
  <c r="R62" i="21"/>
  <c r="S49" i="21"/>
  <c r="K38" i="22"/>
  <c r="K40" i="22"/>
  <c r="K39" i="22"/>
  <c r="T9" i="21"/>
  <c r="U9" i="22"/>
  <c r="V7" i="22"/>
  <c r="U11" i="22"/>
  <c r="T26" i="22"/>
  <c r="T44" i="22"/>
  <c r="S15" i="21"/>
  <c r="S30" i="21"/>
  <c r="T35" i="21"/>
  <c r="T27" i="21"/>
  <c r="S31" i="21"/>
  <c r="U7" i="21"/>
  <c r="U57" i="21"/>
  <c r="L13" i="21"/>
  <c r="H42" i="41"/>
  <c r="H66" i="2"/>
  <c r="H41" i="41"/>
  <c r="H46" i="2"/>
  <c r="H43" i="41"/>
  <c r="H86" i="2"/>
  <c r="I81" i="23"/>
  <c r="I30" i="41"/>
  <c r="I32" i="41"/>
  <c r="I34" i="41"/>
  <c r="I36" i="41"/>
  <c r="J79" i="23"/>
  <c r="L12" i="23"/>
  <c r="L77" i="23"/>
  <c r="K76" i="23"/>
  <c r="K75" i="23"/>
  <c r="K74" i="23"/>
  <c r="T46" i="23"/>
  <c r="T65" i="23"/>
  <c r="T45" i="23"/>
  <c r="T64" i="23"/>
  <c r="U63" i="23"/>
  <c r="V41" i="23"/>
  <c r="V35" i="23"/>
  <c r="V37" i="23"/>
  <c r="R42" i="24"/>
  <c r="R43" i="24"/>
  <c r="S60" i="23"/>
  <c r="T22" i="24"/>
  <c r="T40" i="24"/>
  <c r="S68" i="26"/>
  <c r="S59" i="23"/>
  <c r="S41" i="24"/>
  <c r="S47" i="24"/>
  <c r="U58" i="23"/>
  <c r="T31" i="23"/>
  <c r="T30" i="23"/>
  <c r="U14" i="23"/>
  <c r="T68" i="26"/>
  <c r="R68" i="24"/>
  <c r="R74" i="24"/>
  <c r="M13" i="22"/>
  <c r="M33" i="22"/>
  <c r="M34" i="22"/>
  <c r="U47" i="21"/>
  <c r="U48" i="21"/>
  <c r="U46" i="21"/>
  <c r="U45" i="21"/>
  <c r="V72" i="2"/>
  <c r="V80" i="2"/>
  <c r="V92" i="2"/>
  <c r="W40" i="2"/>
  <c r="W60" i="2"/>
  <c r="V52" i="2"/>
  <c r="Q75" i="24"/>
  <c r="S68" i="24"/>
  <c r="S74" i="24"/>
  <c r="S67" i="24"/>
  <c r="S46" i="24"/>
  <c r="T16" i="21"/>
  <c r="T31" i="21"/>
  <c r="R73" i="24"/>
  <c r="V51" i="23"/>
  <c r="V53" i="23"/>
  <c r="V20" i="23"/>
  <c r="V26" i="23"/>
  <c r="V22" i="23"/>
  <c r="V9" i="23"/>
  <c r="V11" i="23"/>
  <c r="W7" i="23"/>
  <c r="U10" i="21"/>
  <c r="U17" i="21"/>
  <c r="U11" i="21"/>
  <c r="V22" i="22"/>
  <c r="V23" i="22"/>
  <c r="U27" i="22"/>
  <c r="U45" i="22"/>
  <c r="U28" i="22"/>
  <c r="U46" i="22"/>
  <c r="S36" i="21"/>
  <c r="R40" i="21"/>
  <c r="R72" i="21"/>
  <c r="R68" i="2"/>
  <c r="R41" i="21"/>
  <c r="R73" i="21"/>
  <c r="R88" i="2"/>
  <c r="R39" i="21"/>
  <c r="R71" i="21"/>
  <c r="R48" i="2"/>
  <c r="S62" i="21"/>
  <c r="T62" i="21"/>
  <c r="S60" i="21"/>
  <c r="T49" i="21"/>
  <c r="L38" i="22"/>
  <c r="L39" i="22"/>
  <c r="L40" i="22"/>
  <c r="T15" i="21"/>
  <c r="T30" i="21"/>
  <c r="U35" i="21"/>
  <c r="U27" i="21"/>
  <c r="V11" i="22"/>
  <c r="W7" i="22"/>
  <c r="V9" i="22"/>
  <c r="U26" i="22"/>
  <c r="U44" i="22"/>
  <c r="T32" i="21"/>
  <c r="U9" i="21"/>
  <c r="V7" i="21"/>
  <c r="V57" i="21"/>
  <c r="M13" i="21"/>
  <c r="I42" i="41"/>
  <c r="I66" i="2"/>
  <c r="I41" i="41"/>
  <c r="I46" i="2"/>
  <c r="I43" i="41"/>
  <c r="I86" i="2"/>
  <c r="J81" i="23"/>
  <c r="J30" i="41"/>
  <c r="J32" i="41"/>
  <c r="J34" i="41"/>
  <c r="J36" i="41"/>
  <c r="K79" i="23"/>
  <c r="M12" i="23"/>
  <c r="M77" i="23"/>
  <c r="L76" i="23"/>
  <c r="L75" i="23"/>
  <c r="L74" i="23"/>
  <c r="U45" i="23"/>
  <c r="U64" i="23"/>
  <c r="U46" i="23"/>
  <c r="U65" i="23"/>
  <c r="V63" i="23"/>
  <c r="W35" i="23"/>
  <c r="W41" i="23"/>
  <c r="W37" i="23"/>
  <c r="T41" i="24"/>
  <c r="T47" i="24"/>
  <c r="U22" i="24"/>
  <c r="U41" i="24"/>
  <c r="U47" i="24"/>
  <c r="S42" i="24"/>
  <c r="S43" i="24"/>
  <c r="T59" i="23"/>
  <c r="T60" i="23"/>
  <c r="N13" i="22"/>
  <c r="N33" i="22"/>
  <c r="N34" i="22"/>
  <c r="S48" i="24"/>
  <c r="V14" i="23"/>
  <c r="V58" i="23"/>
  <c r="U30" i="23"/>
  <c r="U31" i="23"/>
  <c r="T53" i="24"/>
  <c r="T67" i="24"/>
  <c r="R75" i="24"/>
  <c r="R81" i="24"/>
  <c r="R81" i="2"/>
  <c r="R69" i="24"/>
  <c r="R70" i="24"/>
  <c r="V48" i="21"/>
  <c r="V47" i="21"/>
  <c r="V46" i="21"/>
  <c r="V45" i="21"/>
  <c r="U16" i="21"/>
  <c r="U61" i="21"/>
  <c r="W72" i="2"/>
  <c r="W80" i="2"/>
  <c r="W92" i="2"/>
  <c r="X40" i="2"/>
  <c r="X60" i="2"/>
  <c r="W52" i="2"/>
  <c r="U53" i="24"/>
  <c r="T46" i="24"/>
  <c r="Q80" i="24"/>
  <c r="Q61" i="2"/>
  <c r="Q79" i="24"/>
  <c r="Q41" i="2"/>
  <c r="Q81" i="24"/>
  <c r="Q81" i="2"/>
  <c r="S69" i="24"/>
  <c r="S70" i="24"/>
  <c r="S73" i="24"/>
  <c r="S75" i="24"/>
  <c r="W51" i="23"/>
  <c r="W53" i="23"/>
  <c r="W20" i="23"/>
  <c r="W26" i="23"/>
  <c r="W22" i="23"/>
  <c r="W9" i="23"/>
  <c r="W11" i="23"/>
  <c r="X7" i="23"/>
  <c r="V10" i="21"/>
  <c r="V16" i="21"/>
  <c r="V11" i="21"/>
  <c r="W22" i="22"/>
  <c r="W23" i="22"/>
  <c r="V27" i="22"/>
  <c r="V45" i="22"/>
  <c r="V28" i="22"/>
  <c r="V46" i="22"/>
  <c r="T36" i="21"/>
  <c r="S39" i="21"/>
  <c r="S71" i="21"/>
  <c r="S48" i="2"/>
  <c r="S40" i="21"/>
  <c r="S72" i="21"/>
  <c r="S68" i="2"/>
  <c r="S41" i="21"/>
  <c r="S73" i="21"/>
  <c r="S88" i="2"/>
  <c r="T60" i="21"/>
  <c r="T61" i="21"/>
  <c r="U49" i="21"/>
  <c r="M38" i="22"/>
  <c r="M39" i="22"/>
  <c r="M40" i="22"/>
  <c r="V9" i="21"/>
  <c r="V35" i="21"/>
  <c r="V27" i="21"/>
  <c r="W11" i="22"/>
  <c r="W9" i="22"/>
  <c r="X7" i="22"/>
  <c r="V26" i="22"/>
  <c r="V44" i="22"/>
  <c r="W7" i="21"/>
  <c r="W57" i="21"/>
  <c r="U32" i="21"/>
  <c r="U15" i="21"/>
  <c r="U30" i="21"/>
  <c r="N13" i="21"/>
  <c r="J41" i="41"/>
  <c r="J46" i="2"/>
  <c r="J42" i="41"/>
  <c r="J66" i="2"/>
  <c r="J43" i="41"/>
  <c r="J86" i="2"/>
  <c r="K81" i="23"/>
  <c r="K30" i="41"/>
  <c r="K32" i="41"/>
  <c r="K34" i="41"/>
  <c r="K36" i="41"/>
  <c r="L79" i="23"/>
  <c r="N12" i="23"/>
  <c r="N77" i="23"/>
  <c r="M75" i="23"/>
  <c r="M74" i="23"/>
  <c r="M76" i="23"/>
  <c r="T42" i="24"/>
  <c r="T43" i="24"/>
  <c r="T48" i="24"/>
  <c r="X35" i="23"/>
  <c r="X41" i="23"/>
  <c r="X37" i="23"/>
  <c r="W63" i="23"/>
  <c r="V46" i="23"/>
  <c r="V65" i="23"/>
  <c r="V45" i="23"/>
  <c r="V64" i="23"/>
  <c r="U40" i="24"/>
  <c r="U46" i="24"/>
  <c r="U48" i="24"/>
  <c r="O13" i="22"/>
  <c r="O33" i="22"/>
  <c r="O34" i="22"/>
  <c r="U60" i="23"/>
  <c r="V22" i="24"/>
  <c r="V41" i="24"/>
  <c r="V47" i="24"/>
  <c r="W14" i="23"/>
  <c r="W58" i="23"/>
  <c r="S79" i="24"/>
  <c r="S41" i="2"/>
  <c r="V30" i="23"/>
  <c r="V31" i="23"/>
  <c r="U68" i="26"/>
  <c r="U59" i="23"/>
  <c r="T68" i="24"/>
  <c r="T74" i="24"/>
  <c r="R80" i="24"/>
  <c r="R61" i="2"/>
  <c r="R79" i="24"/>
  <c r="R41" i="2"/>
  <c r="W48" i="21"/>
  <c r="W46" i="21"/>
  <c r="W45" i="21"/>
  <c r="W47" i="21"/>
  <c r="U31" i="21"/>
  <c r="X72" i="2"/>
  <c r="X80" i="2"/>
  <c r="X92" i="2"/>
  <c r="Y40" i="2"/>
  <c r="Y60" i="2"/>
  <c r="X52" i="2"/>
  <c r="S81" i="24"/>
  <c r="S81" i="2"/>
  <c r="S80" i="24"/>
  <c r="S61" i="2"/>
  <c r="V68" i="26"/>
  <c r="V17" i="21"/>
  <c r="V32" i="21"/>
  <c r="U68" i="24"/>
  <c r="U74" i="24"/>
  <c r="U67" i="24"/>
  <c r="T73" i="24"/>
  <c r="V15" i="21"/>
  <c r="V30" i="21"/>
  <c r="V53" i="24"/>
  <c r="X51" i="23"/>
  <c r="X53" i="23"/>
  <c r="X20" i="23"/>
  <c r="X26" i="23"/>
  <c r="X22" i="23"/>
  <c r="Y7" i="23"/>
  <c r="X11" i="23"/>
  <c r="X9" i="23"/>
  <c r="W10" i="21"/>
  <c r="W16" i="21"/>
  <c r="W11" i="21"/>
  <c r="W27" i="22"/>
  <c r="W45" i="22"/>
  <c r="W28" i="22"/>
  <c r="W46" i="22"/>
  <c r="X22" i="22"/>
  <c r="X23" i="22"/>
  <c r="U36" i="21"/>
  <c r="T41" i="21"/>
  <c r="T73" i="21"/>
  <c r="T88" i="2"/>
  <c r="T39" i="21"/>
  <c r="T71" i="21"/>
  <c r="T48" i="2"/>
  <c r="T40" i="21"/>
  <c r="T72" i="21"/>
  <c r="T68" i="2"/>
  <c r="V61" i="21"/>
  <c r="U62" i="21"/>
  <c r="U60" i="21"/>
  <c r="V49" i="21"/>
  <c r="N38" i="22"/>
  <c r="N39" i="22"/>
  <c r="N40" i="22"/>
  <c r="W35" i="21"/>
  <c r="W27" i="21"/>
  <c r="X7" i="21"/>
  <c r="X57" i="21"/>
  <c r="W9" i="21"/>
  <c r="Y7" i="22"/>
  <c r="X9" i="22"/>
  <c r="X11" i="22"/>
  <c r="W26" i="22"/>
  <c r="W44" i="22"/>
  <c r="O13" i="21"/>
  <c r="V31" i="21"/>
  <c r="K41" i="41"/>
  <c r="K46" i="2"/>
  <c r="K43" i="41"/>
  <c r="K86" i="2"/>
  <c r="K42" i="41"/>
  <c r="K66" i="2"/>
  <c r="L81" i="23"/>
  <c r="L30" i="41"/>
  <c r="L32" i="41"/>
  <c r="L34" i="41"/>
  <c r="L36" i="41"/>
  <c r="M79" i="23"/>
  <c r="O12" i="23"/>
  <c r="O77" i="23"/>
  <c r="N75" i="23"/>
  <c r="N74" i="23"/>
  <c r="N76" i="23"/>
  <c r="Y35" i="23"/>
  <c r="Y41" i="23"/>
  <c r="Y37" i="23"/>
  <c r="X63" i="23"/>
  <c r="W46" i="23"/>
  <c r="W65" i="23"/>
  <c r="W45" i="23"/>
  <c r="W64" i="23"/>
  <c r="P13" i="22"/>
  <c r="P33" i="22"/>
  <c r="P34" i="22"/>
  <c r="U42" i="24"/>
  <c r="U43" i="24"/>
  <c r="X58" i="23"/>
  <c r="V59" i="23"/>
  <c r="V60" i="23"/>
  <c r="V40" i="24"/>
  <c r="V42" i="24"/>
  <c r="V43" i="24"/>
  <c r="X14" i="23"/>
  <c r="W22" i="24"/>
  <c r="W41" i="24"/>
  <c r="W47" i="24"/>
  <c r="W31" i="23"/>
  <c r="W30" i="23"/>
  <c r="T75" i="24"/>
  <c r="T81" i="24"/>
  <c r="T81" i="2"/>
  <c r="T69" i="24"/>
  <c r="T70" i="24"/>
  <c r="X46" i="21"/>
  <c r="X45" i="21"/>
  <c r="X48" i="21"/>
  <c r="X47" i="21"/>
  <c r="Y72" i="2"/>
  <c r="Y80" i="2"/>
  <c r="Y92" i="2"/>
  <c r="Z40" i="2"/>
  <c r="Z60" i="2"/>
  <c r="Y52" i="2"/>
  <c r="V62" i="21"/>
  <c r="V60" i="21"/>
  <c r="W68" i="26"/>
  <c r="W17" i="21"/>
  <c r="W32" i="21"/>
  <c r="V68" i="24"/>
  <c r="V74" i="24"/>
  <c r="V67" i="24"/>
  <c r="U73" i="24"/>
  <c r="U75" i="24"/>
  <c r="U79" i="24"/>
  <c r="U41" i="2"/>
  <c r="U69" i="24"/>
  <c r="U70" i="24"/>
  <c r="W53" i="24"/>
  <c r="Y51" i="23"/>
  <c r="Y53" i="23"/>
  <c r="Y20" i="23"/>
  <c r="Y26" i="23"/>
  <c r="Y22" i="23"/>
  <c r="Y9" i="23"/>
  <c r="Y11" i="23"/>
  <c r="Z7" i="23"/>
  <c r="X10" i="21"/>
  <c r="X17" i="21"/>
  <c r="X11" i="21"/>
  <c r="X28" i="22"/>
  <c r="X46" i="22"/>
  <c r="X27" i="22"/>
  <c r="X45" i="22"/>
  <c r="Y22" i="22"/>
  <c r="Y23" i="22"/>
  <c r="V36" i="21"/>
  <c r="U41" i="21"/>
  <c r="U73" i="21"/>
  <c r="U88" i="2"/>
  <c r="U39" i="21"/>
  <c r="U71" i="21"/>
  <c r="U48" i="2"/>
  <c r="U40" i="21"/>
  <c r="U72" i="21"/>
  <c r="U68" i="2"/>
  <c r="W49" i="21"/>
  <c r="O39" i="22"/>
  <c r="O40" i="22"/>
  <c r="O38" i="22"/>
  <c r="W15" i="21"/>
  <c r="W30" i="21"/>
  <c r="W31" i="21"/>
  <c r="Y7" i="21"/>
  <c r="Y57" i="21"/>
  <c r="X9" i="21"/>
  <c r="X35" i="21"/>
  <c r="X27" i="21"/>
  <c r="Z7" i="22"/>
  <c r="Y9" i="22"/>
  <c r="Y11" i="22"/>
  <c r="X26" i="22"/>
  <c r="X44" i="22"/>
  <c r="P13" i="21"/>
  <c r="L43" i="41"/>
  <c r="L86" i="2"/>
  <c r="L42" i="41"/>
  <c r="L66" i="2"/>
  <c r="L41" i="41"/>
  <c r="L46" i="2"/>
  <c r="M81" i="23"/>
  <c r="M30" i="41"/>
  <c r="M32" i="41"/>
  <c r="M34" i="41"/>
  <c r="M36" i="41"/>
  <c r="N79" i="23"/>
  <c r="P12" i="23"/>
  <c r="P77" i="23"/>
  <c r="O76" i="23"/>
  <c r="O75" i="23"/>
  <c r="O74" i="23"/>
  <c r="Z35" i="23"/>
  <c r="Z41" i="23"/>
  <c r="Z37" i="23"/>
  <c r="Y63" i="23"/>
  <c r="X46" i="23"/>
  <c r="X65" i="23"/>
  <c r="X45" i="23"/>
  <c r="X64" i="23"/>
  <c r="Y58" i="23"/>
  <c r="T80" i="24"/>
  <c r="T61" i="2"/>
  <c r="X22" i="24"/>
  <c r="X41" i="24"/>
  <c r="X47" i="24"/>
  <c r="X31" i="23"/>
  <c r="X60" i="23"/>
  <c r="Q13" i="22"/>
  <c r="Q33" i="22"/>
  <c r="Q34" i="22"/>
  <c r="X30" i="23"/>
  <c r="X59" i="23"/>
  <c r="V46" i="24"/>
  <c r="V48" i="24"/>
  <c r="W59" i="23"/>
  <c r="W60" i="23"/>
  <c r="Y14" i="23"/>
  <c r="W40" i="24"/>
  <c r="W46" i="24"/>
  <c r="W48" i="24"/>
  <c r="T79" i="24"/>
  <c r="T41" i="2"/>
  <c r="Y46" i="21"/>
  <c r="Y45" i="21"/>
  <c r="Y47" i="21"/>
  <c r="Y48" i="21"/>
  <c r="Z72" i="2"/>
  <c r="Z80" i="2"/>
  <c r="Z92" i="2"/>
  <c r="AA40" i="2"/>
  <c r="AA60" i="2"/>
  <c r="Z52" i="2"/>
  <c r="W62" i="21"/>
  <c r="X15" i="21"/>
  <c r="X60" i="21"/>
  <c r="Y11" i="21"/>
  <c r="X68" i="26"/>
  <c r="U80" i="24"/>
  <c r="U61" i="2"/>
  <c r="W67" i="24"/>
  <c r="W68" i="24"/>
  <c r="W74" i="24"/>
  <c r="U81" i="24"/>
  <c r="U81" i="2"/>
  <c r="X53" i="24"/>
  <c r="V73" i="24"/>
  <c r="V75" i="24"/>
  <c r="V69" i="24"/>
  <c r="V70" i="24"/>
  <c r="Z51" i="23"/>
  <c r="Z53" i="23"/>
  <c r="Z20" i="23"/>
  <c r="Z26" i="23"/>
  <c r="Z22" i="23"/>
  <c r="Z9" i="23"/>
  <c r="AA7" i="23"/>
  <c r="Z11" i="23"/>
  <c r="X16" i="21"/>
  <c r="X31" i="21"/>
  <c r="Y27" i="22"/>
  <c r="Y45" i="22"/>
  <c r="Y28" i="22"/>
  <c r="Y46" i="22"/>
  <c r="Z22" i="22"/>
  <c r="Z23" i="22"/>
  <c r="Y9" i="21"/>
  <c r="Y10" i="21"/>
  <c r="V39" i="21"/>
  <c r="V71" i="21"/>
  <c r="V48" i="2"/>
  <c r="V40" i="21"/>
  <c r="V72" i="21"/>
  <c r="V68" i="2"/>
  <c r="V41" i="21"/>
  <c r="V73" i="21"/>
  <c r="V88" i="2"/>
  <c r="W36" i="21"/>
  <c r="W61" i="21"/>
  <c r="W60" i="21"/>
  <c r="Z7" i="21"/>
  <c r="Z57" i="21"/>
  <c r="Y35" i="21"/>
  <c r="Y27" i="21"/>
  <c r="X49" i="21"/>
  <c r="P39" i="22"/>
  <c r="P40" i="22"/>
  <c r="P38" i="22"/>
  <c r="X32" i="21"/>
  <c r="Y26" i="22"/>
  <c r="Y44" i="22"/>
  <c r="Z11" i="22"/>
  <c r="AA7" i="22"/>
  <c r="Z9" i="22"/>
  <c r="Q13" i="21"/>
  <c r="M43" i="41"/>
  <c r="M86" i="2"/>
  <c r="M41" i="41"/>
  <c r="M46" i="2"/>
  <c r="M42" i="41"/>
  <c r="M66" i="2"/>
  <c r="N81" i="23"/>
  <c r="N30" i="41"/>
  <c r="N32" i="41"/>
  <c r="N34" i="41"/>
  <c r="N36" i="41"/>
  <c r="O79" i="23"/>
  <c r="Q12" i="23"/>
  <c r="Q77" i="23"/>
  <c r="P75" i="23"/>
  <c r="P74" i="23"/>
  <c r="P76" i="23"/>
  <c r="AA41" i="23"/>
  <c r="AA37" i="23"/>
  <c r="AA35" i="23"/>
  <c r="Z63" i="23"/>
  <c r="Y46" i="23"/>
  <c r="Y65" i="23"/>
  <c r="Y45" i="23"/>
  <c r="Y64" i="23"/>
  <c r="X40" i="24"/>
  <c r="X46" i="24"/>
  <c r="X48" i="24"/>
  <c r="Y30" i="23"/>
  <c r="Y59" i="23"/>
  <c r="Y22" i="24"/>
  <c r="Y41" i="24"/>
  <c r="Y47" i="24"/>
  <c r="Z58" i="23"/>
  <c r="Y31" i="23"/>
  <c r="Y60" i="23"/>
  <c r="R13" i="22"/>
  <c r="R33" i="22"/>
  <c r="R34" i="22"/>
  <c r="Z14" i="23"/>
  <c r="W42" i="24"/>
  <c r="W43" i="24"/>
  <c r="V81" i="24"/>
  <c r="V81" i="2"/>
  <c r="Z46" i="21"/>
  <c r="Z47" i="21"/>
  <c r="Z45" i="21"/>
  <c r="Z48" i="21"/>
  <c r="X30" i="21"/>
  <c r="AA72" i="2"/>
  <c r="AA80" i="2"/>
  <c r="AA92" i="2"/>
  <c r="AB40" i="2"/>
  <c r="AB60" i="2"/>
  <c r="AA52" i="2"/>
  <c r="Z11" i="21"/>
  <c r="Y68" i="26"/>
  <c r="X68" i="24"/>
  <c r="X74" i="24"/>
  <c r="X67" i="24"/>
  <c r="Y53" i="24"/>
  <c r="V79" i="24"/>
  <c r="V41" i="2"/>
  <c r="W73" i="24"/>
  <c r="W75" i="24"/>
  <c r="W81" i="24"/>
  <c r="W81" i="2"/>
  <c r="W69" i="24"/>
  <c r="W70" i="24"/>
  <c r="V80" i="24"/>
  <c r="V61" i="2"/>
  <c r="AA51" i="23"/>
  <c r="AA53" i="23"/>
  <c r="AA20" i="23"/>
  <c r="AA26" i="23"/>
  <c r="AA22" i="23"/>
  <c r="AA11" i="23"/>
  <c r="AA9" i="23"/>
  <c r="AB7" i="23"/>
  <c r="Y17" i="21"/>
  <c r="Y32" i="21"/>
  <c r="Y16" i="21"/>
  <c r="Y31" i="21"/>
  <c r="AA22" i="22"/>
  <c r="AA23" i="22"/>
  <c r="Z28" i="22"/>
  <c r="Z46" i="22"/>
  <c r="Z27" i="22"/>
  <c r="Z45" i="22"/>
  <c r="Z35" i="21"/>
  <c r="Z27" i="21"/>
  <c r="Z10" i="21"/>
  <c r="X36" i="21"/>
  <c r="W39" i="21"/>
  <c r="W71" i="21"/>
  <c r="W48" i="2"/>
  <c r="W40" i="21"/>
  <c r="W72" i="21"/>
  <c r="W68" i="2"/>
  <c r="W41" i="21"/>
  <c r="W73" i="21"/>
  <c r="W88" i="2"/>
  <c r="X62" i="21"/>
  <c r="X61" i="21"/>
  <c r="AA7" i="21"/>
  <c r="AA57" i="21"/>
  <c r="Z9" i="21"/>
  <c r="Y49" i="21"/>
  <c r="Q40" i="22"/>
  <c r="Q38" i="22"/>
  <c r="Q39" i="22"/>
  <c r="Y15" i="21"/>
  <c r="Y30" i="21"/>
  <c r="Z26" i="22"/>
  <c r="Z44" i="22"/>
  <c r="AA11" i="22"/>
  <c r="AB7" i="22"/>
  <c r="AA9" i="22"/>
  <c r="R13" i="21"/>
  <c r="N41" i="41"/>
  <c r="N46" i="2"/>
  <c r="N42" i="41"/>
  <c r="N66" i="2"/>
  <c r="N43" i="41"/>
  <c r="N86" i="2"/>
  <c r="O81" i="23"/>
  <c r="O30" i="41"/>
  <c r="O32" i="41"/>
  <c r="O34" i="41"/>
  <c r="O36" i="41"/>
  <c r="P79" i="23"/>
  <c r="R12" i="23"/>
  <c r="R77" i="23"/>
  <c r="Q75" i="23"/>
  <c r="Q74" i="23"/>
  <c r="Q76" i="23"/>
  <c r="AA63" i="23"/>
  <c r="Z46" i="23"/>
  <c r="Z65" i="23"/>
  <c r="Z45" i="23"/>
  <c r="Z64" i="23"/>
  <c r="AB41" i="23"/>
  <c r="AB37" i="23"/>
  <c r="AB35" i="23"/>
  <c r="Y40" i="24"/>
  <c r="Y42" i="24"/>
  <c r="Y43" i="24"/>
  <c r="X42" i="24"/>
  <c r="X43" i="24"/>
  <c r="AA58" i="23"/>
  <c r="Z30" i="23"/>
  <c r="Z59" i="23"/>
  <c r="Z31" i="23"/>
  <c r="Z60" i="23"/>
  <c r="S13" i="22"/>
  <c r="S33" i="22"/>
  <c r="S34" i="22"/>
  <c r="Z22" i="24"/>
  <c r="Z40" i="24"/>
  <c r="AA14" i="23"/>
  <c r="AA46" i="21"/>
  <c r="AA45" i="21"/>
  <c r="AA47" i="21"/>
  <c r="AA48" i="21"/>
  <c r="AB72" i="2"/>
  <c r="AB80" i="2"/>
  <c r="AB92" i="2"/>
  <c r="AC40" i="2"/>
  <c r="AC60" i="2"/>
  <c r="AB52" i="2"/>
  <c r="Y62" i="21"/>
  <c r="W79" i="24"/>
  <c r="W41" i="2"/>
  <c r="AA11" i="21"/>
  <c r="Z68" i="26"/>
  <c r="W80" i="24"/>
  <c r="W61" i="2"/>
  <c r="X73" i="24"/>
  <c r="X75" i="24"/>
  <c r="X81" i="24"/>
  <c r="X81" i="2"/>
  <c r="X69" i="24"/>
  <c r="X70" i="24"/>
  <c r="Y68" i="24"/>
  <c r="Y74" i="24"/>
  <c r="Y67" i="24"/>
  <c r="Z53" i="24"/>
  <c r="AB51" i="23"/>
  <c r="AB53" i="23"/>
  <c r="AB20" i="23"/>
  <c r="AB26" i="23"/>
  <c r="AB22" i="23"/>
  <c r="AC7" i="23"/>
  <c r="AB9" i="23"/>
  <c r="AB11" i="23"/>
  <c r="Z16" i="21"/>
  <c r="Z31" i="21"/>
  <c r="Z17" i="21"/>
  <c r="Z62" i="21"/>
  <c r="AA27" i="22"/>
  <c r="AA45" i="22"/>
  <c r="AA28" i="22"/>
  <c r="AA46" i="22"/>
  <c r="AB22" i="22"/>
  <c r="AB23" i="22"/>
  <c r="AA10" i="21"/>
  <c r="Y36" i="21"/>
  <c r="X40" i="21"/>
  <c r="X72" i="21"/>
  <c r="X68" i="2"/>
  <c r="X41" i="21"/>
  <c r="X73" i="21"/>
  <c r="X88" i="2"/>
  <c r="X39" i="21"/>
  <c r="X71" i="21"/>
  <c r="X48" i="2"/>
  <c r="Y61" i="21"/>
  <c r="AA35" i="21"/>
  <c r="AA27" i="21"/>
  <c r="AB7" i="21"/>
  <c r="AB57" i="21"/>
  <c r="Y60" i="21"/>
  <c r="AA9" i="21"/>
  <c r="Z49" i="21"/>
  <c r="Z15" i="21"/>
  <c r="Z30" i="21"/>
  <c r="R40" i="22"/>
  <c r="R38" i="22"/>
  <c r="R39" i="22"/>
  <c r="AB9" i="22"/>
  <c r="AC7" i="22"/>
  <c r="AB11" i="22"/>
  <c r="AA26" i="22"/>
  <c r="AA44" i="22"/>
  <c r="S13" i="21"/>
  <c r="O42" i="41"/>
  <c r="O66" i="2"/>
  <c r="O41" i="41"/>
  <c r="O46" i="2"/>
  <c r="O43" i="41"/>
  <c r="O86" i="2"/>
  <c r="P81" i="23"/>
  <c r="P30" i="41"/>
  <c r="P32" i="41"/>
  <c r="P34" i="41"/>
  <c r="P36" i="41"/>
  <c r="Q79" i="23"/>
  <c r="S12" i="23"/>
  <c r="S77" i="23"/>
  <c r="R75" i="23"/>
  <c r="R74" i="23"/>
  <c r="R76" i="23"/>
  <c r="AC37" i="23"/>
  <c r="AC35" i="23"/>
  <c r="AC41" i="23"/>
  <c r="AB63" i="23"/>
  <c r="AA46" i="23"/>
  <c r="AA65" i="23"/>
  <c r="AA45" i="23"/>
  <c r="AA64" i="23"/>
  <c r="Y46" i="24"/>
  <c r="Y48" i="24"/>
  <c r="T13" i="22"/>
  <c r="T33" i="22"/>
  <c r="T34" i="22"/>
  <c r="AA31" i="23"/>
  <c r="AA60" i="23"/>
  <c r="AA22" i="24"/>
  <c r="AA40" i="24"/>
  <c r="AB58" i="23"/>
  <c r="AA30" i="23"/>
  <c r="AA59" i="23"/>
  <c r="Z41" i="24"/>
  <c r="Z47" i="24"/>
  <c r="AB14" i="23"/>
  <c r="AB45" i="21"/>
  <c r="AB47" i="21"/>
  <c r="AB48" i="21"/>
  <c r="AB46" i="21"/>
  <c r="AC72" i="2"/>
  <c r="AC80" i="2"/>
  <c r="AC92" i="2"/>
  <c r="AD40" i="2"/>
  <c r="AD60" i="2"/>
  <c r="AC52" i="2"/>
  <c r="AA49" i="21"/>
  <c r="AB11" i="21"/>
  <c r="X79" i="24"/>
  <c r="X41" i="2"/>
  <c r="X80" i="24"/>
  <c r="X61" i="2"/>
  <c r="AA68" i="26"/>
  <c r="Z68" i="24"/>
  <c r="Z74" i="24"/>
  <c r="Z67" i="24"/>
  <c r="Y73" i="24"/>
  <c r="Y75" i="24"/>
  <c r="Y69" i="24"/>
  <c r="Y70" i="24"/>
  <c r="AA53" i="24"/>
  <c r="Z46" i="24"/>
  <c r="AC51" i="23"/>
  <c r="AC53" i="23"/>
  <c r="AC20" i="23"/>
  <c r="AC26" i="23"/>
  <c r="AC22" i="23"/>
  <c r="AD7" i="23"/>
  <c r="AC9" i="23"/>
  <c r="AC11" i="23"/>
  <c r="Z32" i="21"/>
  <c r="Z36" i="21"/>
  <c r="AA16" i="21"/>
  <c r="AA61" i="21"/>
  <c r="AA17" i="21"/>
  <c r="AA32" i="21"/>
  <c r="AC22" i="22"/>
  <c r="AC23" i="22"/>
  <c r="AB27" i="22"/>
  <c r="AB45" i="22"/>
  <c r="AB28" i="22"/>
  <c r="AB46" i="22"/>
  <c r="AB9" i="21"/>
  <c r="AB10" i="21"/>
  <c r="Y41" i="21"/>
  <c r="Y73" i="21"/>
  <c r="Y88" i="2"/>
  <c r="Y39" i="21"/>
  <c r="Y71" i="21"/>
  <c r="Y48" i="2"/>
  <c r="Y40" i="21"/>
  <c r="Y72" i="21"/>
  <c r="Y68" i="2"/>
  <c r="Z61" i="21"/>
  <c r="AC7" i="21"/>
  <c r="AC57" i="21"/>
  <c r="AB35" i="21"/>
  <c r="AB27" i="21"/>
  <c r="AA15" i="21"/>
  <c r="Z60" i="21"/>
  <c r="S38" i="22"/>
  <c r="S39" i="22"/>
  <c r="S40" i="22"/>
  <c r="AD7" i="22"/>
  <c r="AC11" i="22"/>
  <c r="AC9" i="22"/>
  <c r="AB26" i="22"/>
  <c r="AB44" i="22"/>
  <c r="T13" i="21"/>
  <c r="P41" i="41"/>
  <c r="P46" i="2"/>
  <c r="P42" i="41"/>
  <c r="P66" i="2"/>
  <c r="P43" i="41"/>
  <c r="P86" i="2"/>
  <c r="R79" i="23"/>
  <c r="Q81" i="23"/>
  <c r="Q30" i="41"/>
  <c r="Q32" i="41"/>
  <c r="Q34" i="41"/>
  <c r="Q36" i="41"/>
  <c r="S76" i="23"/>
  <c r="T12" i="23"/>
  <c r="T77" i="23"/>
  <c r="S75" i="23"/>
  <c r="S74" i="23"/>
  <c r="AB46" i="23"/>
  <c r="AB65" i="23"/>
  <c r="AB45" i="23"/>
  <c r="AB64" i="23"/>
  <c r="AC63" i="23"/>
  <c r="AD37" i="23"/>
  <c r="AD35" i="23"/>
  <c r="AD41" i="23"/>
  <c r="U13" i="22"/>
  <c r="U33" i="22"/>
  <c r="U34" i="22"/>
  <c r="Y79" i="24"/>
  <c r="Y41" i="2"/>
  <c r="AA41" i="24"/>
  <c r="AA47" i="24"/>
  <c r="Z42" i="24"/>
  <c r="Z43" i="24"/>
  <c r="Z48" i="24"/>
  <c r="AC58" i="23"/>
  <c r="AB30" i="23"/>
  <c r="AB59" i="23"/>
  <c r="AB22" i="24"/>
  <c r="AB41" i="24"/>
  <c r="AB47" i="24"/>
  <c r="AB31" i="23"/>
  <c r="AB60" i="23"/>
  <c r="AC14" i="23"/>
  <c r="AC47" i="21"/>
  <c r="AC48" i="21"/>
  <c r="AC45" i="21"/>
  <c r="AC46" i="21"/>
  <c r="AB49" i="21"/>
  <c r="AD72" i="2"/>
  <c r="AD80" i="2"/>
  <c r="AD92" i="2"/>
  <c r="AE40" i="2"/>
  <c r="AE60" i="2"/>
  <c r="AD52" i="2"/>
  <c r="AC11" i="21"/>
  <c r="AB68" i="26"/>
  <c r="AA31" i="21"/>
  <c r="Y81" i="24"/>
  <c r="Y81" i="2"/>
  <c r="AA68" i="24"/>
  <c r="AA74" i="24"/>
  <c r="AA67" i="24"/>
  <c r="AA46" i="24"/>
  <c r="Z73" i="24"/>
  <c r="Z75" i="24"/>
  <c r="Z69" i="24"/>
  <c r="Z70" i="24"/>
  <c r="AB53" i="24"/>
  <c r="Y80" i="24"/>
  <c r="Y61" i="2"/>
  <c r="AD51" i="23"/>
  <c r="AD53" i="23"/>
  <c r="AD20" i="23"/>
  <c r="AD26" i="23"/>
  <c r="AD22" i="23"/>
  <c r="AE7" i="23"/>
  <c r="AD11" i="23"/>
  <c r="AD9" i="23"/>
  <c r="AB17" i="21"/>
  <c r="AB32" i="21"/>
  <c r="AB16" i="21"/>
  <c r="AB61" i="21"/>
  <c r="AD22" i="22"/>
  <c r="AD23" i="22"/>
  <c r="AC28" i="22"/>
  <c r="AC46" i="22"/>
  <c r="AC27" i="22"/>
  <c r="AC45" i="22"/>
  <c r="AD7" i="21"/>
  <c r="AD57" i="21"/>
  <c r="AC10" i="21"/>
  <c r="AA36" i="21"/>
  <c r="Z39" i="21"/>
  <c r="Z71" i="21"/>
  <c r="Z48" i="2"/>
  <c r="Z40" i="21"/>
  <c r="Z72" i="21"/>
  <c r="Z68" i="2"/>
  <c r="Z41" i="21"/>
  <c r="Z73" i="21"/>
  <c r="Z88" i="2"/>
  <c r="AA62" i="21"/>
  <c r="AB15" i="21"/>
  <c r="AB60" i="21"/>
  <c r="AC35" i="21"/>
  <c r="AC27" i="21"/>
  <c r="AA30" i="21"/>
  <c r="AA60" i="21"/>
  <c r="AC9" i="21"/>
  <c r="T38" i="22"/>
  <c r="T39" i="22"/>
  <c r="T40" i="22"/>
  <c r="AC26" i="22"/>
  <c r="AC44" i="22"/>
  <c r="AD11" i="22"/>
  <c r="AE7" i="22"/>
  <c r="AD9" i="22"/>
  <c r="U13" i="21"/>
  <c r="Q41" i="41"/>
  <c r="Q46" i="2"/>
  <c r="Q42" i="41"/>
  <c r="Q66" i="2"/>
  <c r="Q43" i="41"/>
  <c r="Q86" i="2"/>
  <c r="R81" i="23"/>
  <c r="R30" i="41"/>
  <c r="R32" i="41"/>
  <c r="R34" i="41"/>
  <c r="R36" i="41"/>
  <c r="S79" i="23"/>
  <c r="U12" i="23"/>
  <c r="U77" i="23"/>
  <c r="T76" i="23"/>
  <c r="T75" i="23"/>
  <c r="T74" i="23"/>
  <c r="AE35" i="23"/>
  <c r="AE41" i="23"/>
  <c r="AE37" i="23"/>
  <c r="AC45" i="23"/>
  <c r="AC64" i="23"/>
  <c r="AD63" i="23"/>
  <c r="AC46" i="23"/>
  <c r="AC65" i="23"/>
  <c r="V13" i="22"/>
  <c r="V33" i="22"/>
  <c r="V34" i="22"/>
  <c r="AC22" i="24"/>
  <c r="AC40" i="24"/>
  <c r="AA48" i="24"/>
  <c r="AD58" i="23"/>
  <c r="Z81" i="24"/>
  <c r="Z81" i="2"/>
  <c r="AA42" i="24"/>
  <c r="AA43" i="24"/>
  <c r="AC31" i="23"/>
  <c r="AC60" i="23"/>
  <c r="AC30" i="23"/>
  <c r="AC59" i="23"/>
  <c r="AB40" i="24"/>
  <c r="AB42" i="24"/>
  <c r="AB43" i="24"/>
  <c r="AD14" i="23"/>
  <c r="AD48" i="21"/>
  <c r="AD45" i="21"/>
  <c r="AD47" i="21"/>
  <c r="AD46" i="21"/>
  <c r="AE72" i="2"/>
  <c r="AE80" i="2"/>
  <c r="AE92" i="2"/>
  <c r="AF40" i="2"/>
  <c r="AF60" i="2"/>
  <c r="AE52" i="2"/>
  <c r="AC49" i="21"/>
  <c r="AD35" i="21"/>
  <c r="AD27" i="21"/>
  <c r="AB62" i="21"/>
  <c r="AC68" i="26"/>
  <c r="Z79" i="24"/>
  <c r="Z41" i="2"/>
  <c r="Z80" i="24"/>
  <c r="Z61" i="2"/>
  <c r="AC53" i="24"/>
  <c r="AB67" i="24"/>
  <c r="AB68" i="24"/>
  <c r="AB74" i="24"/>
  <c r="AA73" i="24"/>
  <c r="AA75" i="24"/>
  <c r="AA69" i="24"/>
  <c r="AA70" i="24"/>
  <c r="AE51" i="23"/>
  <c r="AE53" i="23"/>
  <c r="AE20" i="23"/>
  <c r="AE26" i="23"/>
  <c r="AE22" i="23"/>
  <c r="AE9" i="23"/>
  <c r="AE11" i="23"/>
  <c r="AF7" i="23"/>
  <c r="AD10" i="21"/>
  <c r="AD16" i="21"/>
  <c r="AD11" i="21"/>
  <c r="AC17" i="21"/>
  <c r="AC32" i="21"/>
  <c r="AC16" i="21"/>
  <c r="AC31" i="21"/>
  <c r="AE7" i="21"/>
  <c r="AE57" i="21"/>
  <c r="AD9" i="21"/>
  <c r="AD28" i="22"/>
  <c r="AD46" i="22"/>
  <c r="AD27" i="22"/>
  <c r="AD45" i="22"/>
  <c r="AE22" i="22"/>
  <c r="AE23" i="22"/>
  <c r="AB36" i="21"/>
  <c r="AA40" i="21"/>
  <c r="AA72" i="21"/>
  <c r="AA68" i="2"/>
  <c r="AA39" i="21"/>
  <c r="AA71" i="21"/>
  <c r="AA48" i="2"/>
  <c r="AA41" i="21"/>
  <c r="AA73" i="21"/>
  <c r="AA88" i="2"/>
  <c r="AB31" i="21"/>
  <c r="AC15" i="21"/>
  <c r="AC60" i="21"/>
  <c r="AB30" i="21"/>
  <c r="U38" i="22"/>
  <c r="U39" i="22"/>
  <c r="U40" i="22"/>
  <c r="AD26" i="22"/>
  <c r="AD44" i="22"/>
  <c r="AE11" i="22"/>
  <c r="AF7" i="22"/>
  <c r="AE9" i="22"/>
  <c r="V13" i="21"/>
  <c r="R43" i="41"/>
  <c r="R86" i="2"/>
  <c r="R42" i="41"/>
  <c r="R66" i="2"/>
  <c r="R41" i="41"/>
  <c r="R46" i="2"/>
  <c r="S81" i="23"/>
  <c r="S30" i="41"/>
  <c r="S32" i="41"/>
  <c r="S34" i="41"/>
  <c r="S36" i="41"/>
  <c r="T79" i="23"/>
  <c r="V12" i="23"/>
  <c r="V77" i="23"/>
  <c r="U75" i="23"/>
  <c r="U74" i="23"/>
  <c r="U76" i="23"/>
  <c r="AE63" i="23"/>
  <c r="AD46" i="23"/>
  <c r="AD65" i="23"/>
  <c r="AD45" i="23"/>
  <c r="AD64" i="23"/>
  <c r="AF35" i="23"/>
  <c r="AF41" i="23"/>
  <c r="AF37" i="23"/>
  <c r="W13" i="22"/>
  <c r="W33" i="22"/>
  <c r="W34" i="22"/>
  <c r="AC41" i="24"/>
  <c r="AC47" i="24"/>
  <c r="AD30" i="23"/>
  <c r="AD59" i="23"/>
  <c r="AA79" i="24"/>
  <c r="AA41" i="2"/>
  <c r="AD31" i="23"/>
  <c r="AD60" i="23"/>
  <c r="AE58" i="23"/>
  <c r="AD22" i="24"/>
  <c r="AD40" i="24"/>
  <c r="AB46" i="24"/>
  <c r="AB48" i="24"/>
  <c r="AE14" i="23"/>
  <c r="AE48" i="21"/>
  <c r="AE46" i="21"/>
  <c r="AE47" i="21"/>
  <c r="AE45" i="21"/>
  <c r="AF72" i="2"/>
  <c r="AF80" i="2"/>
  <c r="AF92" i="2"/>
  <c r="AG40" i="2"/>
  <c r="AG60" i="2"/>
  <c r="AF52" i="2"/>
  <c r="AD49" i="21"/>
  <c r="AE35" i="21"/>
  <c r="AE27" i="21"/>
  <c r="AC62" i="21"/>
  <c r="AD68" i="26"/>
  <c r="AD17" i="21"/>
  <c r="AD32" i="21"/>
  <c r="AA80" i="24"/>
  <c r="AA61" i="2"/>
  <c r="AD53" i="24"/>
  <c r="AA81" i="24"/>
  <c r="AA81" i="2"/>
  <c r="AC68" i="24"/>
  <c r="AC74" i="24"/>
  <c r="AC67" i="24"/>
  <c r="AC46" i="24"/>
  <c r="AD15" i="21"/>
  <c r="AD30" i="21"/>
  <c r="AB73" i="24"/>
  <c r="AB75" i="24"/>
  <c r="AB69" i="24"/>
  <c r="AB70" i="24"/>
  <c r="AF51" i="23"/>
  <c r="AF53" i="23"/>
  <c r="AF20" i="23"/>
  <c r="AF26" i="23"/>
  <c r="AF22" i="23"/>
  <c r="AF11" i="23"/>
  <c r="AF9" i="23"/>
  <c r="AG7" i="23"/>
  <c r="AE10" i="21"/>
  <c r="AE17" i="21"/>
  <c r="AE11" i="21"/>
  <c r="AF7" i="21"/>
  <c r="AF57" i="21"/>
  <c r="AE9" i="21"/>
  <c r="AD61" i="21"/>
  <c r="AE27" i="22"/>
  <c r="AE45" i="22"/>
  <c r="AE28" i="22"/>
  <c r="AE46" i="22"/>
  <c r="AF22" i="22"/>
  <c r="AF23" i="22"/>
  <c r="AC61" i="21"/>
  <c r="AC30" i="21"/>
  <c r="AC36" i="21"/>
  <c r="AB40" i="21"/>
  <c r="AB72" i="21"/>
  <c r="AB68" i="2"/>
  <c r="AB39" i="21"/>
  <c r="AB71" i="21"/>
  <c r="AB48" i="2"/>
  <c r="AB41" i="21"/>
  <c r="AB73" i="21"/>
  <c r="AB88" i="2"/>
  <c r="V38" i="22"/>
  <c r="V39" i="22"/>
  <c r="V40" i="22"/>
  <c r="AF9" i="22"/>
  <c r="AF11" i="22"/>
  <c r="AG7" i="22"/>
  <c r="AE26" i="22"/>
  <c r="AE44" i="22"/>
  <c r="W13" i="21"/>
  <c r="AD31" i="21"/>
  <c r="S41" i="41"/>
  <c r="S46" i="2"/>
  <c r="S43" i="41"/>
  <c r="S86" i="2"/>
  <c r="S42" i="41"/>
  <c r="S66" i="2"/>
  <c r="T81" i="23"/>
  <c r="T30" i="41"/>
  <c r="T32" i="41"/>
  <c r="T34" i="41"/>
  <c r="T36" i="41"/>
  <c r="U79" i="23"/>
  <c r="W12" i="23"/>
  <c r="W77" i="23"/>
  <c r="V75" i="23"/>
  <c r="V74" i="23"/>
  <c r="V76" i="23"/>
  <c r="AG35" i="23"/>
  <c r="AG41" i="23"/>
  <c r="AG37" i="23"/>
  <c r="AF63" i="23"/>
  <c r="AE46" i="23"/>
  <c r="AE65" i="23"/>
  <c r="AE45" i="23"/>
  <c r="AE64" i="23"/>
  <c r="X13" i="22"/>
  <c r="X33" i="22"/>
  <c r="X34" i="22"/>
  <c r="AC42" i="24"/>
  <c r="AC43" i="24"/>
  <c r="AC48" i="24"/>
  <c r="AF58" i="23"/>
  <c r="AD41" i="24"/>
  <c r="AD47" i="24"/>
  <c r="AE30" i="23"/>
  <c r="AE59" i="23"/>
  <c r="AE31" i="23"/>
  <c r="AE60" i="23"/>
  <c r="AE22" i="24"/>
  <c r="AE40" i="24"/>
  <c r="AB79" i="24"/>
  <c r="AB41" i="2"/>
  <c r="AF14" i="23"/>
  <c r="AF46" i="21"/>
  <c r="AF45" i="21"/>
  <c r="AF48" i="21"/>
  <c r="AF47" i="21"/>
  <c r="AG72" i="2"/>
  <c r="AG80" i="2"/>
  <c r="AG92" i="2"/>
  <c r="AH40" i="2"/>
  <c r="AH60" i="2"/>
  <c r="AG52" i="2"/>
  <c r="AE49" i="21"/>
  <c r="AF9" i="21"/>
  <c r="AD62" i="21"/>
  <c r="AE15" i="21"/>
  <c r="AE60" i="21"/>
  <c r="AD60" i="21"/>
  <c r="AG7" i="21"/>
  <c r="AG57" i="21"/>
  <c r="AE16" i="21"/>
  <c r="AE31" i="21"/>
  <c r="AE68" i="26"/>
  <c r="AC73" i="24"/>
  <c r="AC75" i="24"/>
  <c r="AC69" i="24"/>
  <c r="AC70" i="24"/>
  <c r="AE53" i="24"/>
  <c r="AB81" i="24"/>
  <c r="AB81" i="2"/>
  <c r="AD68" i="24"/>
  <c r="AD74" i="24"/>
  <c r="AD67" i="24"/>
  <c r="AD46" i="24"/>
  <c r="AB80" i="24"/>
  <c r="AB61" i="2"/>
  <c r="AG51" i="23"/>
  <c r="AG53" i="23"/>
  <c r="AG20" i="23"/>
  <c r="AG26" i="23"/>
  <c r="AG22" i="23"/>
  <c r="AH7" i="23"/>
  <c r="AG9" i="23"/>
  <c r="AG11" i="23"/>
  <c r="AF10" i="21"/>
  <c r="AF15" i="21"/>
  <c r="AF11" i="21"/>
  <c r="AF35" i="21"/>
  <c r="AF27" i="21"/>
  <c r="AE62" i="21"/>
  <c r="AG22" i="22"/>
  <c r="AG23" i="22"/>
  <c r="AF27" i="22"/>
  <c r="AF45" i="22"/>
  <c r="AF28" i="22"/>
  <c r="AF46" i="22"/>
  <c r="AD36" i="21"/>
  <c r="AC39" i="21"/>
  <c r="AC71" i="21"/>
  <c r="AC48" i="2"/>
  <c r="AC40" i="21"/>
  <c r="AC72" i="21"/>
  <c r="AC68" i="2"/>
  <c r="AC41" i="21"/>
  <c r="AC73" i="21"/>
  <c r="AC88" i="2"/>
  <c r="W39" i="22"/>
  <c r="W40" i="22"/>
  <c r="W38" i="22"/>
  <c r="AF26" i="22"/>
  <c r="AF44" i="22"/>
  <c r="AH7" i="22"/>
  <c r="AG9" i="22"/>
  <c r="AG11" i="22"/>
  <c r="X13" i="21"/>
  <c r="AE32" i="21"/>
  <c r="U81" i="23"/>
  <c r="U30" i="41"/>
  <c r="U32" i="41"/>
  <c r="U34" i="41"/>
  <c r="U36" i="41"/>
  <c r="T41" i="41"/>
  <c r="T46" i="2"/>
  <c r="T43" i="41"/>
  <c r="T86" i="2"/>
  <c r="T42" i="41"/>
  <c r="T66" i="2"/>
  <c r="V79" i="23"/>
  <c r="X12" i="23"/>
  <c r="X77" i="23"/>
  <c r="W75" i="23"/>
  <c r="W74" i="23"/>
  <c r="W76" i="23"/>
  <c r="AH35" i="23"/>
  <c r="AH41" i="23"/>
  <c r="AH37" i="23"/>
  <c r="AG63" i="23"/>
  <c r="AF45" i="23"/>
  <c r="AF64" i="23"/>
  <c r="AF46" i="23"/>
  <c r="AF65" i="23"/>
  <c r="AG58" i="23"/>
  <c r="Y13" i="22"/>
  <c r="Y33" i="22"/>
  <c r="Y34" i="22"/>
  <c r="AF22" i="24"/>
  <c r="AF41" i="24"/>
  <c r="AF47" i="24"/>
  <c r="AD42" i="24"/>
  <c r="AD43" i="24"/>
  <c r="AC79" i="24"/>
  <c r="AC41" i="2"/>
  <c r="AD48" i="24"/>
  <c r="AE41" i="24"/>
  <c r="AE47" i="24"/>
  <c r="AF30" i="23"/>
  <c r="AF59" i="23"/>
  <c r="AF31" i="23"/>
  <c r="AF60" i="23"/>
  <c r="AG14" i="23"/>
  <c r="AG9" i="21"/>
  <c r="AG46" i="21"/>
  <c r="AG45" i="21"/>
  <c r="AG47" i="21"/>
  <c r="AG48" i="21"/>
  <c r="AH72" i="2"/>
  <c r="AH80" i="2"/>
  <c r="AH92" i="2"/>
  <c r="AI40" i="2"/>
  <c r="AI60" i="2"/>
  <c r="AH52" i="2"/>
  <c r="AH7" i="21"/>
  <c r="AH57" i="21"/>
  <c r="AE30" i="21"/>
  <c r="AF49" i="21"/>
  <c r="AG10" i="21"/>
  <c r="AG17" i="21"/>
  <c r="AE61" i="21"/>
  <c r="AG35" i="21"/>
  <c r="AG27" i="21"/>
  <c r="AG11" i="21"/>
  <c r="AF68" i="26"/>
  <c r="AF60" i="21"/>
  <c r="AF53" i="24"/>
  <c r="AD73" i="24"/>
  <c r="AD75" i="24"/>
  <c r="AD69" i="24"/>
  <c r="AD70" i="24"/>
  <c r="AE46" i="24"/>
  <c r="AC81" i="24"/>
  <c r="AC81" i="2"/>
  <c r="AC80" i="24"/>
  <c r="AC61" i="2"/>
  <c r="AE67" i="24"/>
  <c r="AE68" i="24"/>
  <c r="AE74" i="24"/>
  <c r="AH51" i="23"/>
  <c r="AH53" i="23"/>
  <c r="AH20" i="23"/>
  <c r="AH26" i="23"/>
  <c r="AH22" i="23"/>
  <c r="AH11" i="23"/>
  <c r="AH9" i="23"/>
  <c r="AI7" i="23"/>
  <c r="AF16" i="21"/>
  <c r="AF31" i="21"/>
  <c r="AF17" i="21"/>
  <c r="AF32" i="21"/>
  <c r="AF36" i="21"/>
  <c r="AH22" i="22"/>
  <c r="AH23" i="22"/>
  <c r="AG27" i="22"/>
  <c r="AG45" i="22"/>
  <c r="AG28" i="22"/>
  <c r="AG46" i="22"/>
  <c r="AD39" i="21"/>
  <c r="AD71" i="21"/>
  <c r="AD48" i="2"/>
  <c r="AD40" i="21"/>
  <c r="AD72" i="21"/>
  <c r="AD68" i="2"/>
  <c r="AD41" i="21"/>
  <c r="AD73" i="21"/>
  <c r="AD88" i="2"/>
  <c r="AE36" i="21"/>
  <c r="X39" i="22"/>
  <c r="X40" i="22"/>
  <c r="X38" i="22"/>
  <c r="AG26" i="22"/>
  <c r="AG44" i="22"/>
  <c r="AI7" i="22"/>
  <c r="AH9" i="22"/>
  <c r="AH11" i="22"/>
  <c r="Y13" i="21"/>
  <c r="AF30" i="21"/>
  <c r="U43" i="41"/>
  <c r="U86" i="2"/>
  <c r="U42" i="41"/>
  <c r="U66" i="2"/>
  <c r="U41" i="41"/>
  <c r="U46" i="2"/>
  <c r="V81" i="23"/>
  <c r="V30" i="41"/>
  <c r="V32" i="41"/>
  <c r="V34" i="41"/>
  <c r="V36" i="41"/>
  <c r="W79" i="23"/>
  <c r="Y12" i="23"/>
  <c r="Y77" i="23"/>
  <c r="X75" i="23"/>
  <c r="X74" i="23"/>
  <c r="X76" i="23"/>
  <c r="AI41" i="23"/>
  <c r="AI37" i="23"/>
  <c r="AI35" i="23"/>
  <c r="AH63" i="23"/>
  <c r="AG46" i="23"/>
  <c r="AG65" i="23"/>
  <c r="AG45" i="23"/>
  <c r="AG64" i="23"/>
  <c r="AG22" i="24"/>
  <c r="AG41" i="24"/>
  <c r="AG47" i="24"/>
  <c r="AG30" i="23"/>
  <c r="AG59" i="23"/>
  <c r="AH58" i="23"/>
  <c r="AG31" i="23"/>
  <c r="AG60" i="23"/>
  <c r="AE42" i="24"/>
  <c r="AE43" i="24"/>
  <c r="Z13" i="22"/>
  <c r="Z33" i="22"/>
  <c r="Z34" i="22"/>
  <c r="AD81" i="24"/>
  <c r="AD81" i="2"/>
  <c r="AF40" i="24"/>
  <c r="AF46" i="24"/>
  <c r="AF48" i="24"/>
  <c r="AE48" i="24"/>
  <c r="AH14" i="23"/>
  <c r="AH11" i="21"/>
  <c r="AH46" i="21"/>
  <c r="AH47" i="21"/>
  <c r="AH45" i="21"/>
  <c r="AH48" i="21"/>
  <c r="AH10" i="21"/>
  <c r="AH16" i="21"/>
  <c r="AI72" i="2"/>
  <c r="AI80" i="2"/>
  <c r="AI92" i="2"/>
  <c r="AJ40" i="2"/>
  <c r="AJ60" i="2"/>
  <c r="AI52" i="2"/>
  <c r="AH9" i="21"/>
  <c r="AI7" i="21"/>
  <c r="AI57" i="21"/>
  <c r="AH35" i="21"/>
  <c r="AH27" i="21"/>
  <c r="AG62" i="21"/>
  <c r="AG15" i="21"/>
  <c r="AG60" i="21"/>
  <c r="AG49" i="21"/>
  <c r="AG16" i="21"/>
  <c r="AG61" i="21"/>
  <c r="AG68" i="26"/>
  <c r="AE73" i="24"/>
  <c r="AE75" i="24"/>
  <c r="AE69" i="24"/>
  <c r="AE70" i="24"/>
  <c r="AD79" i="24"/>
  <c r="AD41" i="2"/>
  <c r="AF68" i="24"/>
  <c r="AF74" i="24"/>
  <c r="AF67" i="24"/>
  <c r="AG53" i="24"/>
  <c r="AD80" i="24"/>
  <c r="AD61" i="2"/>
  <c r="AF62" i="21"/>
  <c r="AI51" i="23"/>
  <c r="AI53" i="23"/>
  <c r="AI20" i="23"/>
  <c r="AI26" i="23"/>
  <c r="AI22" i="23"/>
  <c r="AI9" i="23"/>
  <c r="AJ7" i="23"/>
  <c r="AI11" i="23"/>
  <c r="AF61" i="21"/>
  <c r="AI22" i="22"/>
  <c r="AI23" i="22"/>
  <c r="AH28" i="22"/>
  <c r="AH46" i="22"/>
  <c r="AH27" i="22"/>
  <c r="AH45" i="22"/>
  <c r="AF40" i="21"/>
  <c r="AF41" i="21"/>
  <c r="AF39" i="21"/>
  <c r="AF71" i="21"/>
  <c r="AF48" i="2"/>
  <c r="AE39" i="21"/>
  <c r="AE71" i="21"/>
  <c r="AE48" i="2"/>
  <c r="AE40" i="21"/>
  <c r="AE72" i="21"/>
  <c r="AE68" i="2"/>
  <c r="AE41" i="21"/>
  <c r="AE73" i="21"/>
  <c r="AE88" i="2"/>
  <c r="Y40" i="22"/>
  <c r="Y38" i="22"/>
  <c r="Y39" i="22"/>
  <c r="AH26" i="22"/>
  <c r="AH44" i="22"/>
  <c r="AJ7" i="22"/>
  <c r="AI11" i="22"/>
  <c r="AI9" i="22"/>
  <c r="Z13" i="21"/>
  <c r="AG32" i="21"/>
  <c r="V43" i="41"/>
  <c r="V86" i="2"/>
  <c r="V41" i="41"/>
  <c r="V46" i="2"/>
  <c r="V42" i="41"/>
  <c r="V66" i="2"/>
  <c r="W81" i="23"/>
  <c r="W30" i="41"/>
  <c r="W32" i="41"/>
  <c r="W34" i="41"/>
  <c r="W36" i="41"/>
  <c r="X79" i="23"/>
  <c r="Z12" i="23"/>
  <c r="Z77" i="23"/>
  <c r="Y75" i="23"/>
  <c r="Y74" i="23"/>
  <c r="Y76" i="23"/>
  <c r="AG40" i="24"/>
  <c r="AG46" i="24"/>
  <c r="AG48" i="24"/>
  <c r="AI63" i="23"/>
  <c r="AH46" i="23"/>
  <c r="AH65" i="23"/>
  <c r="AH45" i="23"/>
  <c r="AH64" i="23"/>
  <c r="AJ41" i="23"/>
  <c r="AJ37" i="23"/>
  <c r="AJ35" i="23"/>
  <c r="AI58" i="23"/>
  <c r="AH30" i="23"/>
  <c r="AH59" i="23"/>
  <c r="AH22" i="24"/>
  <c r="AH41" i="24"/>
  <c r="AH47" i="24"/>
  <c r="AE81" i="24"/>
  <c r="AE81" i="2"/>
  <c r="AH31" i="23"/>
  <c r="AH60" i="23"/>
  <c r="AA13" i="22"/>
  <c r="AA33" i="22"/>
  <c r="AA34" i="22"/>
  <c r="AF42" i="24"/>
  <c r="AF43" i="24"/>
  <c r="AI14" i="23"/>
  <c r="AI10" i="21"/>
  <c r="AI16" i="21"/>
  <c r="AI31" i="21"/>
  <c r="AI46" i="21"/>
  <c r="AI45" i="21"/>
  <c r="AI47" i="21"/>
  <c r="AI48" i="21"/>
  <c r="AJ7" i="21"/>
  <c r="AI9" i="21"/>
  <c r="AI35" i="21"/>
  <c r="AI27" i="21"/>
  <c r="AI11" i="21"/>
  <c r="AH61" i="21"/>
  <c r="AH15" i="21"/>
  <c r="AH60" i="21"/>
  <c r="AH17" i="21"/>
  <c r="AH32" i="21"/>
  <c r="AH36" i="21"/>
  <c r="AH49" i="21"/>
  <c r="AG30" i="21"/>
  <c r="AG31" i="21"/>
  <c r="AJ72" i="2"/>
  <c r="AJ80" i="2"/>
  <c r="AJ92" i="2"/>
  <c r="AK40" i="2"/>
  <c r="AK60" i="2"/>
  <c r="AJ52" i="2"/>
  <c r="AF73" i="21"/>
  <c r="AF88" i="2"/>
  <c r="AE79" i="24"/>
  <c r="AE41" i="2"/>
  <c r="AE80" i="24"/>
  <c r="AE61" i="2"/>
  <c r="AH68" i="26"/>
  <c r="AH53" i="24"/>
  <c r="AF73" i="24"/>
  <c r="AF75" i="24"/>
  <c r="AF81" i="24"/>
  <c r="AF81" i="2"/>
  <c r="AF69" i="24"/>
  <c r="AF70" i="24"/>
  <c r="AG68" i="24"/>
  <c r="AG74" i="24"/>
  <c r="AG67" i="24"/>
  <c r="AJ51" i="23"/>
  <c r="AJ53" i="23"/>
  <c r="AJ20" i="23"/>
  <c r="AJ26" i="23"/>
  <c r="AJ22" i="23"/>
  <c r="AJ11" i="23"/>
  <c r="AJ9" i="23"/>
  <c r="AK7" i="23"/>
  <c r="AF72" i="21"/>
  <c r="AF68" i="2"/>
  <c r="AJ22" i="22"/>
  <c r="AJ23" i="22"/>
  <c r="AI28" i="22"/>
  <c r="AI46" i="22"/>
  <c r="AI27" i="22"/>
  <c r="AI45" i="22"/>
  <c r="AG36" i="21"/>
  <c r="Z40" i="22"/>
  <c r="Z38" i="22"/>
  <c r="Z39" i="22"/>
  <c r="AI26" i="22"/>
  <c r="AI44" i="22"/>
  <c r="AJ11" i="22"/>
  <c r="AJ9" i="22"/>
  <c r="AK7" i="22"/>
  <c r="AA13" i="21"/>
  <c r="AH31" i="21"/>
  <c r="AG42" i="24"/>
  <c r="AG43" i="24"/>
  <c r="X81" i="23"/>
  <c r="X30" i="41"/>
  <c r="X32" i="41"/>
  <c r="X34" i="41"/>
  <c r="X36" i="41"/>
  <c r="W43" i="41"/>
  <c r="W86" i="2"/>
  <c r="W42" i="41"/>
  <c r="W66" i="2"/>
  <c r="W41" i="41"/>
  <c r="W46" i="2"/>
  <c r="Y79" i="23"/>
  <c r="AA12" i="23"/>
  <c r="AA77" i="23"/>
  <c r="Z75" i="23"/>
  <c r="Z74" i="23"/>
  <c r="Z76" i="23"/>
  <c r="AB13" i="22"/>
  <c r="AB33" i="22"/>
  <c r="AB34" i="22"/>
  <c r="AI31" i="23"/>
  <c r="AI60" i="23"/>
  <c r="AK41" i="23"/>
  <c r="AK35" i="23"/>
  <c r="AK37" i="23"/>
  <c r="AJ63" i="23"/>
  <c r="AI46" i="23"/>
  <c r="AI65" i="23"/>
  <c r="AI45" i="23"/>
  <c r="AI64" i="23"/>
  <c r="AH40" i="24"/>
  <c r="AH42" i="24"/>
  <c r="AH43" i="24"/>
  <c r="AJ58" i="23"/>
  <c r="AI22" i="24"/>
  <c r="AI40" i="24"/>
  <c r="AI30" i="23"/>
  <c r="AI59" i="23"/>
  <c r="AJ14" i="23"/>
  <c r="AI15" i="21"/>
  <c r="AI30" i="21"/>
  <c r="AI17" i="21"/>
  <c r="AI32" i="21"/>
  <c r="AI36" i="21"/>
  <c r="AJ10" i="21"/>
  <c r="AJ17" i="21"/>
  <c r="AJ57" i="21"/>
  <c r="AJ11" i="21"/>
  <c r="AJ9" i="21"/>
  <c r="AK7" i="21"/>
  <c r="AL7" i="21"/>
  <c r="AL57" i="21"/>
  <c r="AJ45" i="21"/>
  <c r="AJ47" i="21"/>
  <c r="AJ48" i="21"/>
  <c r="AJ46" i="21"/>
  <c r="AJ35" i="21"/>
  <c r="AJ27" i="21"/>
  <c r="AH30" i="21"/>
  <c r="AH62" i="21"/>
  <c r="AI49" i="21"/>
  <c r="AK72" i="2"/>
  <c r="AK80" i="2"/>
  <c r="AK92" i="2"/>
  <c r="AL40" i="2"/>
  <c r="AL60" i="2"/>
  <c r="AK52" i="2"/>
  <c r="AF80" i="24"/>
  <c r="AF61" i="2"/>
  <c r="AI68" i="26"/>
  <c r="AF79" i="24"/>
  <c r="AF41" i="2"/>
  <c r="AI53" i="24"/>
  <c r="AG73" i="24"/>
  <c r="AG75" i="24"/>
  <c r="AG81" i="24"/>
  <c r="AG81" i="2"/>
  <c r="AG69" i="24"/>
  <c r="AG70" i="24"/>
  <c r="AH67" i="24"/>
  <c r="AH68" i="24"/>
  <c r="AH74" i="24"/>
  <c r="AK51" i="23"/>
  <c r="AK53" i="23"/>
  <c r="AK20" i="23"/>
  <c r="AK26" i="23"/>
  <c r="AK22" i="23"/>
  <c r="AK11" i="23"/>
  <c r="AL7" i="23"/>
  <c r="AK9" i="23"/>
  <c r="AK22" i="22"/>
  <c r="AK23" i="22"/>
  <c r="AJ28" i="22"/>
  <c r="AJ46" i="22"/>
  <c r="AJ27" i="22"/>
  <c r="AJ45" i="22"/>
  <c r="AH39" i="21"/>
  <c r="AH71" i="21"/>
  <c r="AH48" i="2"/>
  <c r="AH40" i="21"/>
  <c r="AH72" i="21"/>
  <c r="AH68" i="2"/>
  <c r="AH41" i="21"/>
  <c r="AG41" i="21"/>
  <c r="AG73" i="21"/>
  <c r="AG88" i="2"/>
  <c r="AG39" i="21"/>
  <c r="AG71" i="21"/>
  <c r="AG48" i="2"/>
  <c r="AG40" i="21"/>
  <c r="AG72" i="21"/>
  <c r="AG68" i="2"/>
  <c r="AI61" i="21"/>
  <c r="AA40" i="22"/>
  <c r="AA38" i="22"/>
  <c r="AA39" i="22"/>
  <c r="AK11" i="22"/>
  <c r="AK9" i="22"/>
  <c r="AL7" i="22"/>
  <c r="AJ26" i="22"/>
  <c r="AJ44" i="22"/>
  <c r="AB13" i="21"/>
  <c r="AC13" i="22"/>
  <c r="AC33" i="22"/>
  <c r="AC34" i="22"/>
  <c r="X41" i="41"/>
  <c r="X46" i="2"/>
  <c r="X43" i="41"/>
  <c r="X86" i="2"/>
  <c r="X42" i="41"/>
  <c r="X66" i="2"/>
  <c r="Y81" i="23"/>
  <c r="Y30" i="41"/>
  <c r="Y32" i="41"/>
  <c r="Y34" i="41"/>
  <c r="Y36" i="41"/>
  <c r="Z79" i="23"/>
  <c r="AB12" i="23"/>
  <c r="AB77" i="23"/>
  <c r="AA76" i="23"/>
  <c r="AA75" i="23"/>
  <c r="AA74" i="23"/>
  <c r="AI41" i="24"/>
  <c r="AI47" i="24"/>
  <c r="AJ22" i="24"/>
  <c r="AJ40" i="24"/>
  <c r="AK58" i="23"/>
  <c r="AL35" i="23"/>
  <c r="AL41" i="23"/>
  <c r="AL37" i="23"/>
  <c r="AH46" i="24"/>
  <c r="AH48" i="24"/>
  <c r="AJ46" i="23"/>
  <c r="AJ65" i="23"/>
  <c r="AJ45" i="23"/>
  <c r="AJ64" i="23"/>
  <c r="AK63" i="23"/>
  <c r="AJ30" i="23"/>
  <c r="AJ59" i="23"/>
  <c r="AJ31" i="23"/>
  <c r="AJ60" i="23"/>
  <c r="AK14" i="23"/>
  <c r="AJ16" i="21"/>
  <c r="AJ61" i="21"/>
  <c r="AJ15" i="21"/>
  <c r="AJ30" i="21"/>
  <c r="AI62" i="21"/>
  <c r="AI60" i="21"/>
  <c r="AJ62" i="21"/>
  <c r="AH73" i="21"/>
  <c r="AH88" i="2"/>
  <c r="AK11" i="21"/>
  <c r="AK35" i="21"/>
  <c r="AK27" i="21"/>
  <c r="AK10" i="21"/>
  <c r="AK16" i="21"/>
  <c r="AK31" i="21"/>
  <c r="AK46" i="21"/>
  <c r="AK9" i="21"/>
  <c r="AK45" i="21"/>
  <c r="AK47" i="21"/>
  <c r="AK57" i="21"/>
  <c r="AK48" i="21"/>
  <c r="AJ49" i="21"/>
  <c r="AL48" i="21"/>
  <c r="AL45" i="21"/>
  <c r="AL46" i="21"/>
  <c r="AL47" i="21"/>
  <c r="AL72" i="2"/>
  <c r="AL80" i="2"/>
  <c r="AL92" i="2"/>
  <c r="AM40" i="2"/>
  <c r="AM60" i="2"/>
  <c r="AL52" i="2"/>
  <c r="AJ68" i="26"/>
  <c r="AI67" i="24"/>
  <c r="AI68" i="24"/>
  <c r="AI74" i="24"/>
  <c r="AJ53" i="24"/>
  <c r="AG80" i="24"/>
  <c r="AG61" i="2"/>
  <c r="AH73" i="24"/>
  <c r="AH75" i="24"/>
  <c r="AH69" i="24"/>
  <c r="AH70" i="24"/>
  <c r="AG79" i="24"/>
  <c r="AG41" i="2"/>
  <c r="AI46" i="24"/>
  <c r="AL51" i="23"/>
  <c r="AL53" i="23"/>
  <c r="AL20" i="23"/>
  <c r="AL26" i="23"/>
  <c r="AL22" i="23"/>
  <c r="AL11" i="23"/>
  <c r="AL9" i="23"/>
  <c r="AM7" i="23"/>
  <c r="AL10" i="21"/>
  <c r="AL16" i="21"/>
  <c r="AL11" i="21"/>
  <c r="AL22" i="22"/>
  <c r="AL23" i="22"/>
  <c r="AK27" i="22"/>
  <c r="AK45" i="22"/>
  <c r="AK28" i="22"/>
  <c r="AK46" i="22"/>
  <c r="AI39" i="21"/>
  <c r="AI40" i="21"/>
  <c r="AI72" i="21"/>
  <c r="AI68" i="2"/>
  <c r="AI41" i="21"/>
  <c r="AB38" i="22"/>
  <c r="AB39" i="22"/>
  <c r="AB40" i="22"/>
  <c r="AK26" i="22"/>
  <c r="AK44" i="22"/>
  <c r="AL9" i="22"/>
  <c r="AM7" i="22"/>
  <c r="AL11" i="22"/>
  <c r="AC13" i="21"/>
  <c r="AJ32" i="21"/>
  <c r="AL35" i="21"/>
  <c r="AL27" i="21"/>
  <c r="AL9" i="21"/>
  <c r="AM7" i="21"/>
  <c r="AM57" i="21"/>
  <c r="AD13" i="22"/>
  <c r="AD33" i="22"/>
  <c r="AD34" i="22"/>
  <c r="AJ41" i="24"/>
  <c r="AJ47" i="24"/>
  <c r="AI48" i="24"/>
  <c r="AI42" i="24"/>
  <c r="AI43" i="24"/>
  <c r="AK30" i="23"/>
  <c r="AK59" i="23"/>
  <c r="Y42" i="41"/>
  <c r="Y66" i="2"/>
  <c r="Y41" i="41"/>
  <c r="Y46" i="2"/>
  <c r="Y43" i="41"/>
  <c r="Y86" i="2"/>
  <c r="AK31" i="23"/>
  <c r="AK60" i="23"/>
  <c r="Z81" i="23"/>
  <c r="Z30" i="41"/>
  <c r="Z32" i="41"/>
  <c r="Z34" i="41"/>
  <c r="Z36" i="41"/>
  <c r="AK22" i="24"/>
  <c r="AK40" i="24"/>
  <c r="AL58" i="23"/>
  <c r="AH79" i="24"/>
  <c r="AH41" i="2"/>
  <c r="AA79" i="23"/>
  <c r="AC12" i="23"/>
  <c r="AC77" i="23"/>
  <c r="AB76" i="23"/>
  <c r="AB75" i="23"/>
  <c r="AB74" i="23"/>
  <c r="AL63" i="23"/>
  <c r="AK46" i="23"/>
  <c r="AK65" i="23"/>
  <c r="AK45" i="23"/>
  <c r="AK64" i="23"/>
  <c r="AM35" i="23"/>
  <c r="AM41" i="23"/>
  <c r="AM37" i="23"/>
  <c r="AI73" i="21"/>
  <c r="AI88" i="2"/>
  <c r="AL14" i="23"/>
  <c r="AJ31" i="21"/>
  <c r="AJ60" i="21"/>
  <c r="AI71" i="21"/>
  <c r="AI48" i="2"/>
  <c r="AK17" i="21"/>
  <c r="AK32" i="21"/>
  <c r="AK36" i="21"/>
  <c r="AK15" i="21"/>
  <c r="AK30" i="21"/>
  <c r="AK49" i="21"/>
  <c r="AM48" i="21"/>
  <c r="AM46" i="21"/>
  <c r="AM47" i="21"/>
  <c r="AM45" i="21"/>
  <c r="AL17" i="21"/>
  <c r="AL62" i="21"/>
  <c r="AM72" i="2"/>
  <c r="AM80" i="2"/>
  <c r="AM92" i="2"/>
  <c r="AN40" i="2"/>
  <c r="AN60" i="2"/>
  <c r="AM52" i="2"/>
  <c r="AK68" i="26"/>
  <c r="AH81" i="24"/>
  <c r="AH81" i="2"/>
  <c r="AH80" i="24"/>
  <c r="AH61" i="2"/>
  <c r="AJ68" i="24"/>
  <c r="AJ74" i="24"/>
  <c r="AJ67" i="24"/>
  <c r="AJ46" i="24"/>
  <c r="AK53" i="24"/>
  <c r="AI73" i="24"/>
  <c r="AI75" i="24"/>
  <c r="AI69" i="24"/>
  <c r="AI70" i="24"/>
  <c r="AM51" i="23"/>
  <c r="AM53" i="23"/>
  <c r="AM20" i="23"/>
  <c r="AM26" i="23"/>
  <c r="AM22" i="23"/>
  <c r="AM9" i="23"/>
  <c r="AN7" i="23"/>
  <c r="AM11" i="23"/>
  <c r="AM10" i="21"/>
  <c r="AM16" i="21"/>
  <c r="AM11" i="21"/>
  <c r="AM22" i="22"/>
  <c r="AM23" i="22"/>
  <c r="AL27" i="22"/>
  <c r="AL45" i="22"/>
  <c r="AL28" i="22"/>
  <c r="AL46" i="22"/>
  <c r="AJ36" i="21"/>
  <c r="AK61" i="21"/>
  <c r="AL49" i="21"/>
  <c r="AC38" i="22"/>
  <c r="AC39" i="22"/>
  <c r="AC40" i="22"/>
  <c r="AL26" i="22"/>
  <c r="AL44" i="22"/>
  <c r="AN7" i="22"/>
  <c r="AM9" i="22"/>
  <c r="AM11" i="22"/>
  <c r="AD13" i="21"/>
  <c r="AM35" i="21"/>
  <c r="AM27" i="21"/>
  <c r="AM9" i="21"/>
  <c r="AN7" i="21"/>
  <c r="AN57" i="21"/>
  <c r="AL15" i="21"/>
  <c r="AL60" i="21"/>
  <c r="AL61" i="21"/>
  <c r="AE13" i="22"/>
  <c r="AE33" i="22"/>
  <c r="AE34" i="22"/>
  <c r="AJ48" i="24"/>
  <c r="AJ42" i="24"/>
  <c r="AJ43" i="24"/>
  <c r="AI79" i="24"/>
  <c r="AI41" i="2"/>
  <c r="AM58" i="23"/>
  <c r="AL22" i="24"/>
  <c r="AL40" i="24"/>
  <c r="AL30" i="23"/>
  <c r="AL59" i="23"/>
  <c r="AL31" i="23"/>
  <c r="AL60" i="23"/>
  <c r="Z41" i="41"/>
  <c r="Z46" i="2"/>
  <c r="Z43" i="41"/>
  <c r="Z86" i="2"/>
  <c r="Z42" i="41"/>
  <c r="Z66" i="2"/>
  <c r="AK41" i="24"/>
  <c r="AK47" i="24"/>
  <c r="AA81" i="23"/>
  <c r="AA30" i="41"/>
  <c r="AA32" i="41"/>
  <c r="AA34" i="41"/>
  <c r="AA36" i="41"/>
  <c r="AB79" i="23"/>
  <c r="AD12" i="23"/>
  <c r="AD77" i="23"/>
  <c r="AC74" i="23"/>
  <c r="AC75" i="23"/>
  <c r="AC76" i="23"/>
  <c r="AN35" i="23"/>
  <c r="AN41" i="23"/>
  <c r="AN37" i="23"/>
  <c r="AM63" i="23"/>
  <c r="AL46" i="23"/>
  <c r="AL65" i="23"/>
  <c r="AL45" i="23"/>
  <c r="AL64" i="23"/>
  <c r="AM14" i="23"/>
  <c r="AK62" i="21"/>
  <c r="AK60" i="21"/>
  <c r="AN46" i="21"/>
  <c r="AN45" i="21"/>
  <c r="AN47" i="21"/>
  <c r="AN48" i="21"/>
  <c r="AN72" i="2"/>
  <c r="AN80" i="2"/>
  <c r="AN92" i="2"/>
  <c r="AO40" i="2"/>
  <c r="AO60" i="2"/>
  <c r="AN52" i="2"/>
  <c r="AL68" i="26"/>
  <c r="AL53" i="24"/>
  <c r="AK68" i="24"/>
  <c r="AK74" i="24"/>
  <c r="AK67" i="24"/>
  <c r="AM17" i="21"/>
  <c r="AM32" i="21"/>
  <c r="AK46" i="24"/>
  <c r="AI80" i="24"/>
  <c r="AI61" i="2"/>
  <c r="AI81" i="24"/>
  <c r="AI81" i="2"/>
  <c r="AJ73" i="24"/>
  <c r="AJ75" i="24"/>
  <c r="AJ69" i="24"/>
  <c r="AJ70" i="24"/>
  <c r="AN51" i="23"/>
  <c r="AN53" i="23"/>
  <c r="AN20" i="23"/>
  <c r="AN26" i="23"/>
  <c r="AN22" i="23"/>
  <c r="AN9" i="23"/>
  <c r="AN11" i="23"/>
  <c r="AO7" i="23"/>
  <c r="AN10" i="21"/>
  <c r="AN16" i="21"/>
  <c r="AN11" i="21"/>
  <c r="AM27" i="22"/>
  <c r="AM45" i="22"/>
  <c r="AM28" i="22"/>
  <c r="AM46" i="22"/>
  <c r="AN22" i="22"/>
  <c r="AN23" i="22"/>
  <c r="AK39" i="21"/>
  <c r="AK41" i="21"/>
  <c r="AK40" i="21"/>
  <c r="AK72" i="21"/>
  <c r="AK68" i="2"/>
  <c r="AJ40" i="21"/>
  <c r="AJ72" i="21"/>
  <c r="AJ68" i="2"/>
  <c r="AJ41" i="21"/>
  <c r="AJ73" i="21"/>
  <c r="AJ88" i="2"/>
  <c r="AJ39" i="21"/>
  <c r="AJ71" i="21"/>
  <c r="AJ48" i="2"/>
  <c r="AM49" i="21"/>
  <c r="AD38" i="22"/>
  <c r="AD39" i="22"/>
  <c r="AD40" i="22"/>
  <c r="AM26" i="22"/>
  <c r="AM44" i="22"/>
  <c r="AN9" i="22"/>
  <c r="AN11" i="22"/>
  <c r="AO7" i="22"/>
  <c r="AE13" i="21"/>
  <c r="AL30" i="21"/>
  <c r="AL32" i="21"/>
  <c r="AL31" i="21"/>
  <c r="AN35" i="21"/>
  <c r="AN27" i="21"/>
  <c r="AN9" i="21"/>
  <c r="AO7" i="21"/>
  <c r="AO57" i="21"/>
  <c r="AM61" i="21"/>
  <c r="AM15" i="21"/>
  <c r="AM60" i="21"/>
  <c r="AF13" i="22"/>
  <c r="AF33" i="22"/>
  <c r="AJ80" i="24"/>
  <c r="AJ61" i="2"/>
  <c r="AM30" i="23"/>
  <c r="AM59" i="23"/>
  <c r="AM31" i="23"/>
  <c r="AM60" i="23"/>
  <c r="AM22" i="24"/>
  <c r="AM40" i="24"/>
  <c r="AL41" i="24"/>
  <c r="AL47" i="24"/>
  <c r="AN58" i="23"/>
  <c r="AK48" i="24"/>
  <c r="AK42" i="24"/>
  <c r="AK43" i="24"/>
  <c r="AA41" i="41"/>
  <c r="AA46" i="2"/>
  <c r="AA43" i="41"/>
  <c r="AA86" i="2"/>
  <c r="AA42" i="41"/>
  <c r="AA66" i="2"/>
  <c r="AB81" i="23"/>
  <c r="AB30" i="41"/>
  <c r="AB32" i="41"/>
  <c r="AB34" i="41"/>
  <c r="AB36" i="41"/>
  <c r="AC79" i="23"/>
  <c r="AE12" i="23"/>
  <c r="AE77" i="23"/>
  <c r="AD75" i="23"/>
  <c r="AD74" i="23"/>
  <c r="AD76" i="23"/>
  <c r="AN63" i="23"/>
  <c r="AM46" i="23"/>
  <c r="AM65" i="23"/>
  <c r="AM45" i="23"/>
  <c r="AM64" i="23"/>
  <c r="AO35" i="23"/>
  <c r="AO41" i="23"/>
  <c r="AO37" i="23"/>
  <c r="AN14" i="23"/>
  <c r="AK71" i="21"/>
  <c r="AK48" i="2"/>
  <c r="AK73" i="21"/>
  <c r="AK88" i="2"/>
  <c r="AO46" i="21"/>
  <c r="AO45" i="21"/>
  <c r="AO48" i="21"/>
  <c r="AO47" i="21"/>
  <c r="AO72" i="2"/>
  <c r="AO80" i="2"/>
  <c r="AO92" i="2"/>
  <c r="AP40" i="2"/>
  <c r="AP60" i="2"/>
  <c r="AO52" i="2"/>
  <c r="AN17" i="21"/>
  <c r="AN62" i="21"/>
  <c r="AM68" i="26"/>
  <c r="AJ81" i="24"/>
  <c r="AJ81" i="2"/>
  <c r="AK73" i="24"/>
  <c r="AK75" i="24"/>
  <c r="AK69" i="24"/>
  <c r="AK70" i="24"/>
  <c r="AL68" i="24"/>
  <c r="AL74" i="24"/>
  <c r="AL67" i="24"/>
  <c r="AL46" i="24"/>
  <c r="AM53" i="24"/>
  <c r="AJ79" i="24"/>
  <c r="AJ41" i="2"/>
  <c r="AO51" i="23"/>
  <c r="AO53" i="23"/>
  <c r="AO20" i="23"/>
  <c r="AO26" i="23"/>
  <c r="AO22" i="23"/>
  <c r="AO9" i="23"/>
  <c r="AO11" i="23"/>
  <c r="AP7" i="23"/>
  <c r="AO10" i="21"/>
  <c r="AO16" i="21"/>
  <c r="AO11" i="21"/>
  <c r="AN28" i="22"/>
  <c r="AN46" i="22"/>
  <c r="AN27" i="22"/>
  <c r="AN45" i="22"/>
  <c r="AO22" i="22"/>
  <c r="AO23" i="22"/>
  <c r="AL36" i="21"/>
  <c r="AM36" i="21"/>
  <c r="AM62" i="21"/>
  <c r="AN49" i="21"/>
  <c r="AE39" i="22"/>
  <c r="AE38" i="22"/>
  <c r="AE40" i="22"/>
  <c r="AF34" i="22"/>
  <c r="AG13" i="22"/>
  <c r="AG33" i="22"/>
  <c r="AN26" i="22"/>
  <c r="AN44" i="22"/>
  <c r="AP7" i="22"/>
  <c r="AO9" i="22"/>
  <c r="AO11" i="22"/>
  <c r="AF13" i="21"/>
  <c r="AM31" i="21"/>
  <c r="AM30" i="21"/>
  <c r="AO35" i="21"/>
  <c r="AO27" i="21"/>
  <c r="AO9" i="21"/>
  <c r="AP7" i="21"/>
  <c r="AP57" i="21"/>
  <c r="AN15" i="21"/>
  <c r="AN60" i="21"/>
  <c r="AN61" i="21"/>
  <c r="AM41" i="24"/>
  <c r="AM47" i="24"/>
  <c r="AN22" i="24"/>
  <c r="AO58" i="23"/>
  <c r="AN30" i="23"/>
  <c r="AN59" i="23"/>
  <c r="AN31" i="23"/>
  <c r="AN60" i="23"/>
  <c r="AL42" i="24"/>
  <c r="AL43" i="24"/>
  <c r="AK80" i="24"/>
  <c r="AK61" i="2"/>
  <c r="AL48" i="24"/>
  <c r="AB41" i="41"/>
  <c r="AB46" i="2"/>
  <c r="AB42" i="41"/>
  <c r="AB66" i="2"/>
  <c r="AC81" i="23"/>
  <c r="AC30" i="41"/>
  <c r="AC32" i="41"/>
  <c r="AC34" i="41"/>
  <c r="AC36" i="41"/>
  <c r="AB43" i="41"/>
  <c r="AB86" i="2"/>
  <c r="AD79" i="23"/>
  <c r="AF12" i="23"/>
  <c r="AF77" i="23"/>
  <c r="AE76" i="23"/>
  <c r="AE75" i="23"/>
  <c r="AE74" i="23"/>
  <c r="AP35" i="23"/>
  <c r="AP41" i="23"/>
  <c r="AP37" i="23"/>
  <c r="AO14" i="23"/>
  <c r="AO63" i="23"/>
  <c r="AN46" i="23"/>
  <c r="AN65" i="23"/>
  <c r="AN45" i="23"/>
  <c r="AN64" i="23"/>
  <c r="AO30" i="23"/>
  <c r="AP46" i="21"/>
  <c r="AP45" i="21"/>
  <c r="AP47" i="21"/>
  <c r="AP48" i="21"/>
  <c r="AP72" i="2"/>
  <c r="AP80" i="2"/>
  <c r="AP92" i="2"/>
  <c r="AQ40" i="2"/>
  <c r="AQ60" i="2"/>
  <c r="AP52" i="2"/>
  <c r="AN68" i="26"/>
  <c r="AO17" i="21"/>
  <c r="AO62" i="21"/>
  <c r="AN53" i="24"/>
  <c r="AN41" i="24"/>
  <c r="AN47" i="24"/>
  <c r="AN40" i="24"/>
  <c r="AL73" i="24"/>
  <c r="AL75" i="24"/>
  <c r="AL69" i="24"/>
  <c r="AL70" i="24"/>
  <c r="AK81" i="24"/>
  <c r="AK81" i="2"/>
  <c r="AM68" i="24"/>
  <c r="AM74" i="24"/>
  <c r="AM67" i="24"/>
  <c r="AM46" i="24"/>
  <c r="AM42" i="24"/>
  <c r="AM43" i="24"/>
  <c r="AK79" i="24"/>
  <c r="AK41" i="2"/>
  <c r="AP51" i="23"/>
  <c r="AP53" i="23"/>
  <c r="AP20" i="23"/>
  <c r="AP26" i="23"/>
  <c r="AP22" i="23"/>
  <c r="AQ7" i="23"/>
  <c r="AP11" i="23"/>
  <c r="AP9" i="23"/>
  <c r="AP10" i="21"/>
  <c r="AP16" i="21"/>
  <c r="AP11" i="21"/>
  <c r="AP22" i="22"/>
  <c r="AP23" i="22"/>
  <c r="AO27" i="22"/>
  <c r="AO45" i="22"/>
  <c r="AO28" i="22"/>
  <c r="AO46" i="22"/>
  <c r="AM39" i="21"/>
  <c r="AM71" i="21"/>
  <c r="AM48" i="2"/>
  <c r="AM40" i="21"/>
  <c r="AM72" i="21"/>
  <c r="AM68" i="2"/>
  <c r="AM41" i="21"/>
  <c r="AM73" i="21"/>
  <c r="AM88" i="2"/>
  <c r="AL39" i="21"/>
  <c r="AL71" i="21"/>
  <c r="AL48" i="2"/>
  <c r="AL40" i="21"/>
  <c r="AL72" i="21"/>
  <c r="AL68" i="2"/>
  <c r="AL41" i="21"/>
  <c r="AL73" i="21"/>
  <c r="AL88" i="2"/>
  <c r="AO49" i="21"/>
  <c r="AF39" i="22"/>
  <c r="AF40" i="22"/>
  <c r="AF38" i="22"/>
  <c r="AG34" i="22"/>
  <c r="AH13" i="22"/>
  <c r="AQ7" i="22"/>
  <c r="AP9" i="22"/>
  <c r="AP11" i="22"/>
  <c r="AO26" i="22"/>
  <c r="AO44" i="22"/>
  <c r="AG13" i="21"/>
  <c r="AN30" i="21"/>
  <c r="AN32" i="21"/>
  <c r="AN31" i="21"/>
  <c r="AP35" i="21"/>
  <c r="AP27" i="21"/>
  <c r="AP9" i="21"/>
  <c r="AQ7" i="21"/>
  <c r="AQ57" i="21"/>
  <c r="AO31" i="21"/>
  <c r="AO15" i="21"/>
  <c r="AO30" i="21"/>
  <c r="AM48" i="24"/>
  <c r="AP58" i="23"/>
  <c r="AO31" i="23"/>
  <c r="AL79" i="24"/>
  <c r="AL41" i="2"/>
  <c r="AO22" i="24"/>
  <c r="AO40" i="24"/>
  <c r="AC43" i="41"/>
  <c r="AC86" i="2"/>
  <c r="AC41" i="41"/>
  <c r="AC46" i="2"/>
  <c r="AC42" i="41"/>
  <c r="AC66" i="2"/>
  <c r="AD81" i="23"/>
  <c r="AD30" i="41"/>
  <c r="AD32" i="41"/>
  <c r="AD34" i="41"/>
  <c r="AD36" i="41"/>
  <c r="AE79" i="23"/>
  <c r="AG12" i="23"/>
  <c r="AG77" i="23"/>
  <c r="AF75" i="23"/>
  <c r="AF74" i="23"/>
  <c r="AF76" i="23"/>
  <c r="AQ41" i="23"/>
  <c r="AQ37" i="23"/>
  <c r="AQ35" i="23"/>
  <c r="AP63" i="23"/>
  <c r="AO46" i="23"/>
  <c r="AO65" i="23"/>
  <c r="AO45" i="23"/>
  <c r="AO64" i="23"/>
  <c r="AP14" i="23"/>
  <c r="AO60" i="23"/>
  <c r="AO59" i="23"/>
  <c r="AP31" i="23"/>
  <c r="AP30" i="23"/>
  <c r="AQ46" i="21"/>
  <c r="AQ45" i="21"/>
  <c r="AQ47" i="21"/>
  <c r="AQ48" i="21"/>
  <c r="AP49" i="21"/>
  <c r="AQ72" i="2"/>
  <c r="AQ80" i="2"/>
  <c r="AQ92" i="2"/>
  <c r="AR40" i="2"/>
  <c r="AQ52" i="2"/>
  <c r="AL80" i="24"/>
  <c r="AL61" i="2"/>
  <c r="AP17" i="21"/>
  <c r="AP32" i="21"/>
  <c r="AO68" i="26"/>
  <c r="AL81" i="24"/>
  <c r="AL81" i="2"/>
  <c r="AP22" i="24"/>
  <c r="AN67" i="24"/>
  <c r="AN68" i="24"/>
  <c r="AN74" i="24"/>
  <c r="AM73" i="24"/>
  <c r="AM75" i="24"/>
  <c r="AM69" i="24"/>
  <c r="AM70" i="24"/>
  <c r="AO53" i="24"/>
  <c r="AN42" i="24"/>
  <c r="AN43" i="24"/>
  <c r="AN46" i="24"/>
  <c r="AN48" i="24"/>
  <c r="AQ51" i="23"/>
  <c r="AQ53" i="23"/>
  <c r="AQ20" i="23"/>
  <c r="AQ26" i="23"/>
  <c r="AQ58" i="23"/>
  <c r="AQ22" i="23"/>
  <c r="AR7" i="23"/>
  <c r="AQ9" i="23"/>
  <c r="AQ11" i="23"/>
  <c r="AQ10" i="21"/>
  <c r="AQ16" i="21"/>
  <c r="AQ11" i="21"/>
  <c r="AQ22" i="22"/>
  <c r="AQ23" i="22"/>
  <c r="AP28" i="22"/>
  <c r="AP46" i="22"/>
  <c r="AP27" i="22"/>
  <c r="AP45" i="22"/>
  <c r="AN36" i="21"/>
  <c r="AO61" i="21"/>
  <c r="AO60" i="21"/>
  <c r="AG40" i="22"/>
  <c r="AG39" i="22"/>
  <c r="AG38" i="22"/>
  <c r="AI13" i="22"/>
  <c r="AI33" i="22"/>
  <c r="AP26" i="22"/>
  <c r="AP44" i="22"/>
  <c r="AQ9" i="22"/>
  <c r="AQ11" i="22"/>
  <c r="AR7" i="22"/>
  <c r="AH13" i="21"/>
  <c r="AO32" i="21"/>
  <c r="AQ35" i="21"/>
  <c r="AQ27" i="21"/>
  <c r="AP31" i="21"/>
  <c r="AP15" i="21"/>
  <c r="AP60" i="21"/>
  <c r="AQ9" i="21"/>
  <c r="AR7" i="21"/>
  <c r="AR57" i="21"/>
  <c r="AO41" i="24"/>
  <c r="AO47" i="24"/>
  <c r="AM79" i="24"/>
  <c r="AM41" i="2"/>
  <c r="AD41" i="41"/>
  <c r="AD46" i="2"/>
  <c r="AD43" i="41"/>
  <c r="AD86" i="2"/>
  <c r="AD42" i="41"/>
  <c r="AD66" i="2"/>
  <c r="AE81" i="23"/>
  <c r="AE30" i="41"/>
  <c r="AE32" i="41"/>
  <c r="AE34" i="41"/>
  <c r="AE36" i="41"/>
  <c r="AE43" i="41"/>
  <c r="AE86" i="2"/>
  <c r="AF79" i="23"/>
  <c r="AH12" i="23"/>
  <c r="AH77" i="23"/>
  <c r="AG75" i="23"/>
  <c r="AG74" i="23"/>
  <c r="AG76" i="23"/>
  <c r="AQ14" i="23"/>
  <c r="AQ63" i="23"/>
  <c r="AP46" i="23"/>
  <c r="AP65" i="23"/>
  <c r="AP45" i="23"/>
  <c r="AP64" i="23"/>
  <c r="AR41" i="23"/>
  <c r="AR37" i="23"/>
  <c r="AR35" i="23"/>
  <c r="AP60" i="23"/>
  <c r="AP59" i="23"/>
  <c r="AQ30" i="23"/>
  <c r="AQ31" i="23"/>
  <c r="AR45" i="21"/>
  <c r="AR47" i="21"/>
  <c r="D47" i="21"/>
  <c r="AR48" i="21"/>
  <c r="D48" i="21"/>
  <c r="AR46" i="21"/>
  <c r="D46" i="21"/>
  <c r="AR52" i="2"/>
  <c r="AR60" i="2"/>
  <c r="AQ17" i="21"/>
  <c r="AQ32" i="21"/>
  <c r="AP68" i="26"/>
  <c r="AO46" i="24"/>
  <c r="AO48" i="24"/>
  <c r="AO42" i="24"/>
  <c r="AO43" i="24"/>
  <c r="AP53" i="24"/>
  <c r="AO67" i="24"/>
  <c r="AO68" i="24"/>
  <c r="AO74" i="24"/>
  <c r="AQ22" i="24"/>
  <c r="AN73" i="24"/>
  <c r="AN75" i="24"/>
  <c r="AN79" i="24"/>
  <c r="AN41" i="2"/>
  <c r="AN69" i="24"/>
  <c r="AN70" i="24"/>
  <c r="AM80" i="24"/>
  <c r="AM61" i="2"/>
  <c r="AP40" i="24"/>
  <c r="AP41" i="24"/>
  <c r="AP47" i="24"/>
  <c r="AM81" i="24"/>
  <c r="AM81" i="2"/>
  <c r="AR51" i="23"/>
  <c r="AR53" i="23"/>
  <c r="AR20" i="23"/>
  <c r="AR26" i="23"/>
  <c r="AR58" i="23"/>
  <c r="AR22" i="23"/>
  <c r="AR11" i="23"/>
  <c r="AR9" i="23"/>
  <c r="AR10" i="21"/>
  <c r="AR17" i="21"/>
  <c r="AR11" i="21"/>
  <c r="AR22" i="22"/>
  <c r="AR23" i="22"/>
  <c r="D23" i="22"/>
  <c r="AQ28" i="22"/>
  <c r="AQ46" i="22"/>
  <c r="AQ27" i="22"/>
  <c r="AQ45" i="22"/>
  <c r="AP36" i="21"/>
  <c r="AO36" i="21"/>
  <c r="AN40" i="21"/>
  <c r="AN72" i="21"/>
  <c r="AN68" i="2"/>
  <c r="AN41" i="21"/>
  <c r="AN73" i="21"/>
  <c r="AN88" i="2"/>
  <c r="AN39" i="21"/>
  <c r="AN71" i="21"/>
  <c r="AN48" i="2"/>
  <c r="AP62" i="21"/>
  <c r="AP61" i="21"/>
  <c r="AQ49" i="21"/>
  <c r="AI34" i="22"/>
  <c r="AJ13" i="22"/>
  <c r="AJ33" i="22"/>
  <c r="AR11" i="22"/>
  <c r="AR9" i="22"/>
  <c r="AQ26" i="22"/>
  <c r="AQ44" i="22"/>
  <c r="AI13" i="21"/>
  <c r="AP30" i="21"/>
  <c r="AR35" i="21"/>
  <c r="AR27" i="21"/>
  <c r="AQ61" i="21"/>
  <c r="AQ15" i="21"/>
  <c r="AQ60" i="21"/>
  <c r="AR9" i="21"/>
  <c r="AE42" i="41"/>
  <c r="AE66" i="2"/>
  <c r="AE41" i="41"/>
  <c r="AE46" i="2"/>
  <c r="AF81" i="23"/>
  <c r="AF30" i="41"/>
  <c r="AF32" i="41"/>
  <c r="AF34" i="41"/>
  <c r="AF36" i="41"/>
  <c r="AG79" i="23"/>
  <c r="AI12" i="23"/>
  <c r="AI77" i="23"/>
  <c r="AH75" i="23"/>
  <c r="AH74" i="23"/>
  <c r="AH76" i="23"/>
  <c r="AR14" i="23"/>
  <c r="AR63" i="23"/>
  <c r="AQ46" i="23"/>
  <c r="AQ65" i="23"/>
  <c r="AQ45" i="23"/>
  <c r="AQ64" i="23"/>
  <c r="AQ59" i="23"/>
  <c r="AQ60" i="23"/>
  <c r="AR31" i="23"/>
  <c r="AR30" i="23"/>
  <c r="AR72" i="2"/>
  <c r="AR80" i="2"/>
  <c r="AR92" i="2"/>
  <c r="AQ68" i="26"/>
  <c r="AN80" i="24"/>
  <c r="AN61" i="2"/>
  <c r="AR16" i="21"/>
  <c r="AR61" i="21"/>
  <c r="AQ41" i="24"/>
  <c r="AQ47" i="24"/>
  <c r="AQ40" i="24"/>
  <c r="AO73" i="24"/>
  <c r="AO75" i="24"/>
  <c r="AO80" i="24"/>
  <c r="AO61" i="2"/>
  <c r="AO69" i="24"/>
  <c r="AO70" i="24"/>
  <c r="AR22" i="24"/>
  <c r="AP46" i="24"/>
  <c r="AP48" i="24"/>
  <c r="AP42" i="24"/>
  <c r="AP43" i="24"/>
  <c r="AQ53" i="24"/>
  <c r="AP68" i="24"/>
  <c r="AP74" i="24"/>
  <c r="AP67" i="24"/>
  <c r="AN81" i="24"/>
  <c r="AN81" i="2"/>
  <c r="D29" i="23"/>
  <c r="AR27" i="22"/>
  <c r="AR28" i="22"/>
  <c r="AP39" i="21"/>
  <c r="AP71" i="21"/>
  <c r="AP48" i="2"/>
  <c r="AP40" i="21"/>
  <c r="AP72" i="21"/>
  <c r="AP68" i="2"/>
  <c r="AP41" i="21"/>
  <c r="AP73" i="21"/>
  <c r="AP88" i="2"/>
  <c r="AO41" i="21"/>
  <c r="AO73" i="21"/>
  <c r="AO88" i="2"/>
  <c r="AO39" i="21"/>
  <c r="AO71" i="21"/>
  <c r="AO48" i="2"/>
  <c r="AO40" i="21"/>
  <c r="AO72" i="21"/>
  <c r="AO68" i="2"/>
  <c r="AQ36" i="21"/>
  <c r="D57" i="21"/>
  <c r="AQ62" i="21"/>
  <c r="AR49" i="21"/>
  <c r="AI38" i="22"/>
  <c r="AI40" i="22"/>
  <c r="AI39" i="22"/>
  <c r="D45" i="21"/>
  <c r="AJ34" i="22"/>
  <c r="AK13" i="22"/>
  <c r="AK33" i="22"/>
  <c r="AR26" i="22"/>
  <c r="D22" i="22"/>
  <c r="AJ13" i="21"/>
  <c r="AQ31" i="21"/>
  <c r="AQ30" i="21"/>
  <c r="D35" i="21"/>
  <c r="AR62" i="21"/>
  <c r="AR15" i="21"/>
  <c r="AR60" i="21"/>
  <c r="AF41" i="41"/>
  <c r="AF46" i="2"/>
  <c r="AF43" i="41"/>
  <c r="AF86" i="2"/>
  <c r="AF42" i="41"/>
  <c r="AF66" i="2"/>
  <c r="AG81" i="23"/>
  <c r="AG30" i="41"/>
  <c r="AG32" i="41"/>
  <c r="AG34" i="41"/>
  <c r="AG36" i="41"/>
  <c r="AH79" i="23"/>
  <c r="AJ12" i="23"/>
  <c r="AJ77" i="23"/>
  <c r="AI76" i="23"/>
  <c r="AI75" i="23"/>
  <c r="AI74" i="23"/>
  <c r="D63" i="23"/>
  <c r="AR46" i="23"/>
  <c r="AR45" i="23"/>
  <c r="D44" i="23"/>
  <c r="AR60" i="23"/>
  <c r="D60" i="23"/>
  <c r="AR59" i="23"/>
  <c r="D59" i="23"/>
  <c r="D30" i="23"/>
  <c r="D31" i="23"/>
  <c r="AR68" i="26"/>
  <c r="D68" i="26"/>
  <c r="AO79" i="24"/>
  <c r="AO41" i="2"/>
  <c r="AO81" i="24"/>
  <c r="AO81" i="2"/>
  <c r="AP73" i="24"/>
  <c r="AP75" i="24"/>
  <c r="AP79" i="24"/>
  <c r="AP41" i="2"/>
  <c r="AP69" i="24"/>
  <c r="AP70" i="24"/>
  <c r="AQ67" i="24"/>
  <c r="AQ68" i="24"/>
  <c r="AQ74" i="24"/>
  <c r="AQ46" i="24"/>
  <c r="AQ48" i="24"/>
  <c r="AQ42" i="24"/>
  <c r="AQ43" i="24"/>
  <c r="D58" i="23"/>
  <c r="AR53" i="24"/>
  <c r="D22" i="24"/>
  <c r="AR41" i="24"/>
  <c r="AR40" i="24"/>
  <c r="D60" i="21"/>
  <c r="D62" i="21"/>
  <c r="D61" i="21"/>
  <c r="AQ39" i="21"/>
  <c r="AQ71" i="21"/>
  <c r="AQ48" i="2"/>
  <c r="AQ40" i="21"/>
  <c r="AQ72" i="21"/>
  <c r="AQ68" i="2"/>
  <c r="AQ41" i="21"/>
  <c r="AQ73" i="21"/>
  <c r="AQ88" i="2"/>
  <c r="AJ38" i="22"/>
  <c r="AJ39" i="22"/>
  <c r="AJ40" i="22"/>
  <c r="AH33" i="22"/>
  <c r="AK34" i="22"/>
  <c r="AL13" i="22"/>
  <c r="AL33" i="22"/>
  <c r="AR44" i="22"/>
  <c r="D44" i="22"/>
  <c r="D26" i="22"/>
  <c r="D27" i="22"/>
  <c r="AR45" i="22"/>
  <c r="D45" i="22"/>
  <c r="D28" i="22"/>
  <c r="AR46" i="22"/>
  <c r="D46" i="22"/>
  <c r="AK13" i="21"/>
  <c r="AR30" i="21"/>
  <c r="AR31" i="21"/>
  <c r="AR32" i="21"/>
  <c r="D27" i="21"/>
  <c r="AH81" i="23"/>
  <c r="AH30" i="41"/>
  <c r="AH32" i="41"/>
  <c r="AH34" i="41"/>
  <c r="AH36" i="41"/>
  <c r="AG42" i="41"/>
  <c r="AG66" i="2"/>
  <c r="AG41" i="41"/>
  <c r="AG46" i="2"/>
  <c r="AG43" i="41"/>
  <c r="AG86" i="2"/>
  <c r="AI79" i="23"/>
  <c r="AK12" i="23"/>
  <c r="AK77" i="23"/>
  <c r="AJ76" i="23"/>
  <c r="AJ75" i="23"/>
  <c r="AJ74" i="23"/>
  <c r="D45" i="23"/>
  <c r="AR64" i="23"/>
  <c r="D64" i="23"/>
  <c r="D46" i="23"/>
  <c r="AR65" i="23"/>
  <c r="D65" i="23"/>
  <c r="AP81" i="24"/>
  <c r="AP81" i="2"/>
  <c r="AP80" i="24"/>
  <c r="AP61" i="2"/>
  <c r="AR47" i="24"/>
  <c r="D47" i="24"/>
  <c r="D41" i="24"/>
  <c r="AQ69" i="24"/>
  <c r="AQ70" i="24"/>
  <c r="AQ73" i="24"/>
  <c r="AQ75" i="24"/>
  <c r="AQ80" i="24"/>
  <c r="AQ61" i="2"/>
  <c r="AR67" i="24"/>
  <c r="AR68" i="24"/>
  <c r="D53" i="24"/>
  <c r="AR46" i="24"/>
  <c r="AR42" i="24"/>
  <c r="D40" i="24"/>
  <c r="AR36" i="21"/>
  <c r="AK38" i="22"/>
  <c r="AK39" i="22"/>
  <c r="AK40" i="22"/>
  <c r="AL34" i="22"/>
  <c r="AM13" i="22"/>
  <c r="AM33" i="22"/>
  <c r="AH34" i="22"/>
  <c r="D30" i="21"/>
  <c r="AL13" i="21"/>
  <c r="D31" i="21"/>
  <c r="D32" i="21"/>
  <c r="D42" i="24"/>
  <c r="AR43" i="24"/>
  <c r="D43" i="24"/>
  <c r="AJ79" i="23"/>
  <c r="AJ81" i="23"/>
  <c r="AJ30" i="41"/>
  <c r="AJ32" i="41"/>
  <c r="AJ34" i="41"/>
  <c r="AJ36" i="41"/>
  <c r="AJ42" i="41"/>
  <c r="AJ66" i="2"/>
  <c r="AH42" i="41"/>
  <c r="AH66" i="2"/>
  <c r="AH43" i="41"/>
  <c r="AH86" i="2"/>
  <c r="AH41" i="41"/>
  <c r="AH46" i="2"/>
  <c r="AI81" i="23"/>
  <c r="AI30" i="41"/>
  <c r="AI32" i="41"/>
  <c r="AI34" i="41"/>
  <c r="AI36" i="41"/>
  <c r="AL12" i="23"/>
  <c r="AL77" i="23"/>
  <c r="AK74" i="23"/>
  <c r="AK75" i="23"/>
  <c r="AK76" i="23"/>
  <c r="AQ79" i="24"/>
  <c r="AQ41" i="2"/>
  <c r="AQ81" i="24"/>
  <c r="AQ81" i="2"/>
  <c r="AR48" i="24"/>
  <c r="D46" i="24"/>
  <c r="AR74" i="24"/>
  <c r="D74" i="24"/>
  <c r="D68" i="24"/>
  <c r="AR73" i="24"/>
  <c r="AR69" i="24"/>
  <c r="D67" i="24"/>
  <c r="D36" i="21"/>
  <c r="AR41" i="21"/>
  <c r="AR39" i="21"/>
  <c r="AR40" i="21"/>
  <c r="AH40" i="22"/>
  <c r="AH38" i="22"/>
  <c r="AH39" i="22"/>
  <c r="AL38" i="22"/>
  <c r="AL39" i="22"/>
  <c r="AL40" i="22"/>
  <c r="AN13" i="22"/>
  <c r="AN33" i="22"/>
  <c r="AM13" i="21"/>
  <c r="D69" i="24"/>
  <c r="AR70" i="24"/>
  <c r="D70" i="24"/>
  <c r="AI41" i="41"/>
  <c r="AI46" i="2"/>
  <c r="AI42" i="41"/>
  <c r="AI66" i="2"/>
  <c r="AI43" i="41"/>
  <c r="AI86" i="2"/>
  <c r="AJ41" i="41"/>
  <c r="AJ46" i="2"/>
  <c r="AJ43" i="41"/>
  <c r="AJ86" i="2"/>
  <c r="AK79" i="23"/>
  <c r="AM12" i="23"/>
  <c r="AM77" i="23"/>
  <c r="AL75" i="23"/>
  <c r="AL74" i="23"/>
  <c r="AL76" i="23"/>
  <c r="AR75" i="24"/>
  <c r="AR80" i="24"/>
  <c r="D73" i="24"/>
  <c r="D48" i="24"/>
  <c r="D40" i="21"/>
  <c r="AR72" i="21"/>
  <c r="D39" i="21"/>
  <c r="AR71" i="21"/>
  <c r="D41" i="21"/>
  <c r="AR73" i="21"/>
  <c r="AM34" i="22"/>
  <c r="AO13" i="22"/>
  <c r="AO33" i="22"/>
  <c r="AN13" i="21"/>
  <c r="AL79" i="23"/>
  <c r="AL81" i="23"/>
  <c r="AL30" i="41"/>
  <c r="AL32" i="41"/>
  <c r="AL34" i="41"/>
  <c r="AL36" i="41"/>
  <c r="AK81" i="23"/>
  <c r="AK30" i="41"/>
  <c r="AK32" i="41"/>
  <c r="AK34" i="41"/>
  <c r="AK36" i="41"/>
  <c r="AN12" i="23"/>
  <c r="AN77" i="23"/>
  <c r="AM75" i="23"/>
  <c r="AM74" i="23"/>
  <c r="AM76" i="23"/>
  <c r="D71" i="21"/>
  <c r="AR48" i="2"/>
  <c r="D48" i="2"/>
  <c r="C20" i="2"/>
  <c r="D72" i="21"/>
  <c r="AR68" i="2"/>
  <c r="D68" i="2"/>
  <c r="D20" i="2"/>
  <c r="D73" i="21"/>
  <c r="AR88" i="2"/>
  <c r="D88" i="2"/>
  <c r="E20" i="2"/>
  <c r="D80" i="24"/>
  <c r="AR61" i="2"/>
  <c r="AR81" i="24"/>
  <c r="AR79" i="24"/>
  <c r="AR41" i="2"/>
  <c r="D41" i="2"/>
  <c r="C13" i="2"/>
  <c r="D75" i="24"/>
  <c r="AM39" i="22"/>
  <c r="AM40" i="22"/>
  <c r="AM38" i="22"/>
  <c r="AO34" i="22"/>
  <c r="AP13" i="22"/>
  <c r="AP33" i="22"/>
  <c r="AN34" i="22"/>
  <c r="AO13" i="21"/>
  <c r="AL42" i="41"/>
  <c r="AL66" i="2"/>
  <c r="AL41" i="41"/>
  <c r="AL46" i="2"/>
  <c r="AL43" i="41"/>
  <c r="AL86" i="2"/>
  <c r="AK42" i="41"/>
  <c r="AK66" i="2"/>
  <c r="AK41" i="41"/>
  <c r="AK46" i="2"/>
  <c r="AK43" i="41"/>
  <c r="AK86" i="2"/>
  <c r="AM79" i="23"/>
  <c r="AM81" i="23"/>
  <c r="AM30" i="41"/>
  <c r="AO12" i="23"/>
  <c r="AO77" i="23"/>
  <c r="AN75" i="23"/>
  <c r="AN74" i="23"/>
  <c r="AN76" i="23"/>
  <c r="J32" i="10"/>
  <c r="L17" i="10"/>
  <c r="L27" i="10"/>
  <c r="K17" i="10"/>
  <c r="K27" i="10"/>
  <c r="J17" i="10"/>
  <c r="J27" i="10"/>
  <c r="D61" i="2"/>
  <c r="D13" i="2"/>
  <c r="K32" i="10"/>
  <c r="D81" i="24"/>
  <c r="AR81" i="2"/>
  <c r="D79" i="24"/>
  <c r="AN39" i="22"/>
  <c r="AN40" i="22"/>
  <c r="AN38" i="22"/>
  <c r="AO40" i="22"/>
  <c r="AO39" i="22"/>
  <c r="AO38" i="22"/>
  <c r="AP34" i="22"/>
  <c r="AQ13" i="22"/>
  <c r="AQ33" i="22"/>
  <c r="AP13" i="21"/>
  <c r="AN79" i="23"/>
  <c r="AM32" i="41"/>
  <c r="AP12" i="23"/>
  <c r="AP77" i="23"/>
  <c r="AO75" i="23"/>
  <c r="AO74" i="23"/>
  <c r="AO76" i="23"/>
  <c r="D81" i="2"/>
  <c r="E13" i="2"/>
  <c r="AP40" i="22"/>
  <c r="AP38" i="22"/>
  <c r="AP39" i="22"/>
  <c r="AQ34" i="22"/>
  <c r="AR13" i="22"/>
  <c r="AR33" i="22"/>
  <c r="AQ13" i="21"/>
  <c r="AN81" i="23"/>
  <c r="AN30" i="41"/>
  <c r="AN32" i="41"/>
  <c r="AN34" i="41"/>
  <c r="AN36" i="41"/>
  <c r="AO79" i="23"/>
  <c r="AM34" i="41"/>
  <c r="AQ12" i="23"/>
  <c r="AQ77" i="23"/>
  <c r="AP75" i="23"/>
  <c r="AP74" i="23"/>
  <c r="AP76" i="23"/>
  <c r="L32" i="10"/>
  <c r="F4" i="10"/>
  <c r="AQ38" i="22"/>
  <c r="AQ39" i="22"/>
  <c r="AQ40" i="22"/>
  <c r="D33" i="22"/>
  <c r="AR13" i="21"/>
  <c r="AN42" i="41"/>
  <c r="AN66" i="2"/>
  <c r="AN43" i="41"/>
  <c r="AN86" i="2"/>
  <c r="AN41" i="41"/>
  <c r="AN46" i="2"/>
  <c r="AP79" i="23"/>
  <c r="AP81" i="23"/>
  <c r="AP30" i="41"/>
  <c r="AO81" i="23"/>
  <c r="AO30" i="41"/>
  <c r="AO32" i="41"/>
  <c r="AO34" i="41"/>
  <c r="AO36" i="41"/>
  <c r="AO42" i="41"/>
  <c r="AO66" i="2"/>
  <c r="AM36" i="41"/>
  <c r="AR12" i="23"/>
  <c r="AR77" i="23"/>
  <c r="AQ76" i="23"/>
  <c r="AQ75" i="23"/>
  <c r="AQ74" i="23"/>
  <c r="AR34" i="22"/>
  <c r="AQ79" i="23"/>
  <c r="AQ81" i="23"/>
  <c r="AQ30" i="41"/>
  <c r="AQ32" i="41"/>
  <c r="AQ34" i="41"/>
  <c r="AQ36" i="41"/>
  <c r="AO43" i="41"/>
  <c r="AO86" i="2"/>
  <c r="AO41" i="41"/>
  <c r="AO46" i="2"/>
  <c r="AM42" i="41"/>
  <c r="AM43" i="41"/>
  <c r="AM41" i="41"/>
  <c r="AP32" i="41"/>
  <c r="AR76" i="23"/>
  <c r="AR75" i="23"/>
  <c r="AR74" i="23"/>
  <c r="D34" i="22"/>
  <c r="AR38" i="22"/>
  <c r="AR39" i="22"/>
  <c r="AR40" i="22"/>
  <c r="AQ43" i="41"/>
  <c r="AQ86" i="2"/>
  <c r="AQ42" i="41"/>
  <c r="AQ66" i="2"/>
  <c r="AQ41" i="41"/>
  <c r="AQ46" i="2"/>
  <c r="AR79" i="23"/>
  <c r="AR81" i="23"/>
  <c r="D81" i="23"/>
  <c r="AP34" i="41"/>
  <c r="AM86" i="2"/>
  <c r="AM66" i="2"/>
  <c r="AM46" i="2"/>
  <c r="AO50" i="22"/>
  <c r="AO55" i="22"/>
  <c r="AO69" i="2"/>
  <c r="N51" i="22"/>
  <c r="N56" i="22"/>
  <c r="N89" i="2"/>
  <c r="G50" i="22"/>
  <c r="G55" i="22"/>
  <c r="G69" i="2"/>
  <c r="AP51" i="22"/>
  <c r="AP56" i="22"/>
  <c r="AP89" i="2"/>
  <c r="H49" i="22"/>
  <c r="H54" i="22"/>
  <c r="H49" i="2"/>
  <c r="T51" i="22"/>
  <c r="T56" i="22"/>
  <c r="T89" i="2"/>
  <c r="AG49" i="22"/>
  <c r="AG54" i="22"/>
  <c r="AG49" i="2"/>
  <c r="AH50" i="22"/>
  <c r="AH55" i="22"/>
  <c r="AH69" i="2"/>
  <c r="X49" i="22"/>
  <c r="X54" i="22"/>
  <c r="X49" i="2"/>
  <c r="AR50" i="22"/>
  <c r="AR55" i="22"/>
  <c r="AR69" i="2"/>
  <c r="AO51" i="22"/>
  <c r="AO56" i="22"/>
  <c r="AO89" i="2"/>
  <c r="R50" i="22"/>
  <c r="R55" i="22"/>
  <c r="R69" i="2"/>
  <c r="AG51" i="22"/>
  <c r="AG56" i="22"/>
  <c r="AG89" i="2"/>
  <c r="U51" i="22"/>
  <c r="U56" i="22"/>
  <c r="U89" i="2"/>
  <c r="AD51" i="22"/>
  <c r="AD56" i="22"/>
  <c r="AD89" i="2"/>
  <c r="Y49" i="22"/>
  <c r="Y54" i="22"/>
  <c r="Y49" i="2"/>
  <c r="AP50" i="22"/>
  <c r="AP55" i="22"/>
  <c r="AP69" i="2"/>
  <c r="W50" i="22"/>
  <c r="W55" i="22"/>
  <c r="W69" i="2"/>
  <c r="G51" i="22"/>
  <c r="G56" i="22"/>
  <c r="G89" i="2"/>
  <c r="Y51" i="22"/>
  <c r="Y56" i="22"/>
  <c r="Y89" i="2"/>
  <c r="AJ51" i="22"/>
  <c r="AJ56" i="22"/>
  <c r="AJ89" i="2"/>
  <c r="P50" i="22"/>
  <c r="P55" i="22"/>
  <c r="P69" i="2"/>
  <c r="AD50" i="22"/>
  <c r="AD55" i="22"/>
  <c r="AD69" i="2"/>
  <c r="H50" i="22"/>
  <c r="H55" i="22"/>
  <c r="H69" i="2"/>
  <c r="AF49" i="22"/>
  <c r="AF54" i="22"/>
  <c r="AF49" i="2"/>
  <c r="AB51" i="22"/>
  <c r="AB56" i="22"/>
  <c r="AB89" i="2"/>
  <c r="AA49" i="22"/>
  <c r="AA54" i="22"/>
  <c r="AA49" i="2"/>
  <c r="N49" i="22"/>
  <c r="N54" i="22"/>
  <c r="N49" i="2"/>
  <c r="I49" i="22"/>
  <c r="I54" i="22"/>
  <c r="I49" i="2"/>
  <c r="Y50" i="22"/>
  <c r="Y55" i="22"/>
  <c r="Y69" i="2"/>
  <c r="H51" i="22"/>
  <c r="H56" i="22"/>
  <c r="H89" i="2"/>
  <c r="U50" i="22"/>
  <c r="U55" i="22"/>
  <c r="U69" i="2"/>
  <c r="AI49" i="22"/>
  <c r="AI54" i="22"/>
  <c r="AI49" i="2"/>
  <c r="S51" i="22"/>
  <c r="S56" i="22"/>
  <c r="S89" i="2"/>
  <c r="AN49" i="22"/>
  <c r="AN54" i="22"/>
  <c r="AN49" i="2"/>
  <c r="K51" i="22"/>
  <c r="K56" i="22"/>
  <c r="K89" i="2"/>
  <c r="AI51" i="22"/>
  <c r="AI56" i="22"/>
  <c r="AI89" i="2"/>
  <c r="AC51" i="22"/>
  <c r="AC56" i="22"/>
  <c r="AC89" i="2"/>
  <c r="R49" i="22"/>
  <c r="R54" i="22"/>
  <c r="R49" i="2"/>
  <c r="Q50" i="22"/>
  <c r="Q55" i="22"/>
  <c r="Q69" i="2"/>
  <c r="AM49" i="22"/>
  <c r="AM54" i="22"/>
  <c r="AM49" i="2"/>
  <c r="J50" i="22"/>
  <c r="J55" i="22"/>
  <c r="J69" i="2"/>
  <c r="Z49" i="22"/>
  <c r="Z54" i="22"/>
  <c r="Z49" i="2"/>
  <c r="L51" i="22"/>
  <c r="L56" i="22"/>
  <c r="L89" i="2"/>
  <c r="AB49" i="22"/>
  <c r="AB54" i="22"/>
  <c r="AB49" i="2"/>
  <c r="AN51" i="22"/>
  <c r="AN56" i="22"/>
  <c r="AN89" i="2"/>
  <c r="I50" i="22"/>
  <c r="I55" i="22"/>
  <c r="I69" i="2"/>
  <c r="X51" i="22"/>
  <c r="X56" i="22"/>
  <c r="X89" i="2"/>
  <c r="AH49" i="22"/>
  <c r="AH54" i="22"/>
  <c r="AH49" i="2"/>
  <c r="AK49" i="22"/>
  <c r="AK54" i="22"/>
  <c r="AK49" i="2"/>
  <c r="T50" i="22"/>
  <c r="T55" i="22"/>
  <c r="T69" i="2"/>
  <c r="Z51" i="22"/>
  <c r="Z56" i="22"/>
  <c r="Z89" i="2"/>
  <c r="K50" i="22"/>
  <c r="K55" i="22"/>
  <c r="K69" i="2"/>
  <c r="S50" i="22"/>
  <c r="S55" i="22"/>
  <c r="S69" i="2"/>
  <c r="AG50" i="22"/>
  <c r="AG55" i="22"/>
  <c r="AG69" i="2"/>
  <c r="M49" i="22"/>
  <c r="M54" i="22"/>
  <c r="M49" i="2"/>
  <c r="V50" i="22"/>
  <c r="V55" i="22"/>
  <c r="V69" i="2"/>
  <c r="AO49" i="22"/>
  <c r="AO54" i="22"/>
  <c r="AO49" i="2"/>
  <c r="V49" i="22"/>
  <c r="V54" i="22"/>
  <c r="V49" i="2"/>
  <c r="U49" i="22"/>
  <c r="U54" i="22"/>
  <c r="U49" i="2"/>
  <c r="AI50" i="22"/>
  <c r="AI55" i="22"/>
  <c r="AI69" i="2"/>
  <c r="AE51" i="22"/>
  <c r="AE56" i="22"/>
  <c r="AE89" i="2"/>
  <c r="AE49" i="22"/>
  <c r="AE54" i="22"/>
  <c r="AE49" i="2"/>
  <c r="W49" i="22"/>
  <c r="W54" i="22"/>
  <c r="W49" i="2"/>
  <c r="AE50" i="22"/>
  <c r="AE55" i="22"/>
  <c r="AE69" i="2"/>
  <c r="AD49" i="22"/>
  <c r="AD54" i="22"/>
  <c r="AD49" i="2"/>
  <c r="AK51" i="22"/>
  <c r="AK56" i="22"/>
  <c r="AK89" i="2"/>
  <c r="O50" i="22"/>
  <c r="O55" i="22"/>
  <c r="O69" i="2"/>
  <c r="AB50" i="22"/>
  <c r="AB55" i="22"/>
  <c r="AB69" i="2"/>
  <c r="R51" i="22"/>
  <c r="R56" i="22"/>
  <c r="R89" i="2"/>
  <c r="L49" i="22"/>
  <c r="L54" i="22"/>
  <c r="L49" i="2"/>
  <c r="O51" i="22"/>
  <c r="O56" i="22"/>
  <c r="O89" i="2"/>
  <c r="Q49" i="22"/>
  <c r="Q54" i="22"/>
  <c r="Q49" i="2"/>
  <c r="AM51" i="22"/>
  <c r="AM56" i="22"/>
  <c r="AM89" i="2"/>
  <c r="L50" i="22"/>
  <c r="L55" i="22"/>
  <c r="L69" i="2"/>
  <c r="AJ49" i="22"/>
  <c r="AJ54" i="22"/>
  <c r="AJ49" i="2"/>
  <c r="AM50" i="22"/>
  <c r="AM55" i="22"/>
  <c r="AM69" i="2"/>
  <c r="AL50" i="22"/>
  <c r="AL55" i="22"/>
  <c r="AL69" i="2"/>
  <c r="AR49" i="22"/>
  <c r="AR54" i="22"/>
  <c r="AR49" i="2"/>
  <c r="T49" i="22"/>
  <c r="T54" i="22"/>
  <c r="T49" i="2"/>
  <c r="S49" i="22"/>
  <c r="S54" i="22"/>
  <c r="S49" i="2"/>
  <c r="K49" i="22"/>
  <c r="K54" i="22"/>
  <c r="K49" i="2"/>
  <c r="J49" i="22"/>
  <c r="J54" i="22"/>
  <c r="J49" i="2"/>
  <c r="AF50" i="22"/>
  <c r="AF55" i="22"/>
  <c r="AF69" i="2"/>
  <c r="O49" i="22"/>
  <c r="O54" i="22"/>
  <c r="O49" i="2"/>
  <c r="AC49" i="22"/>
  <c r="AC54" i="22"/>
  <c r="AC49" i="2"/>
  <c r="Z50" i="22"/>
  <c r="Z55" i="22"/>
  <c r="Z69" i="2"/>
  <c r="M51" i="22"/>
  <c r="M56" i="22"/>
  <c r="M89" i="2"/>
  <c r="P51" i="22"/>
  <c r="P56" i="22"/>
  <c r="P89" i="2"/>
  <c r="AJ50" i="22"/>
  <c r="AJ55" i="22"/>
  <c r="AJ69" i="2"/>
  <c r="AQ49" i="22"/>
  <c r="AQ54" i="22"/>
  <c r="AQ49" i="2"/>
  <c r="W51" i="22"/>
  <c r="W56" i="22"/>
  <c r="W89" i="2"/>
  <c r="V51" i="22"/>
  <c r="V56" i="22"/>
  <c r="V89" i="2"/>
  <c r="AC50" i="22"/>
  <c r="AC55" i="22"/>
  <c r="AC69" i="2"/>
  <c r="AN50" i="22"/>
  <c r="AN55" i="22"/>
  <c r="AN69" i="2"/>
  <c r="AQ51" i="22"/>
  <c r="AQ56" i="22"/>
  <c r="AQ89" i="2"/>
  <c r="AA50" i="22"/>
  <c r="AA55" i="22"/>
  <c r="AA69" i="2"/>
  <c r="M50" i="22"/>
  <c r="M55" i="22"/>
  <c r="M69" i="2"/>
  <c r="P49" i="22"/>
  <c r="P54" i="22"/>
  <c r="P49" i="2"/>
  <c r="N50" i="22"/>
  <c r="N55" i="22"/>
  <c r="N69" i="2"/>
  <c r="G49" i="22"/>
  <c r="G54" i="22"/>
  <c r="G49" i="2"/>
  <c r="AP49" i="22"/>
  <c r="AP54" i="22"/>
  <c r="AP49" i="2"/>
  <c r="X50" i="22"/>
  <c r="X55" i="22"/>
  <c r="X69" i="2"/>
  <c r="AL51" i="22"/>
  <c r="AL56" i="22"/>
  <c r="AL89" i="2"/>
  <c r="AL49" i="22"/>
  <c r="AL54" i="22"/>
  <c r="AL49" i="2"/>
  <c r="I51" i="22"/>
  <c r="I56" i="22"/>
  <c r="I89" i="2"/>
  <c r="AA51" i="22"/>
  <c r="AA56" i="22"/>
  <c r="AA89" i="2"/>
  <c r="F50" i="22"/>
  <c r="F55" i="22"/>
  <c r="F69" i="2"/>
  <c r="AQ50" i="22"/>
  <c r="AQ55" i="22"/>
  <c r="AQ69" i="2"/>
  <c r="AR51" i="22"/>
  <c r="AR56" i="22"/>
  <c r="AR89" i="2"/>
  <c r="AF51" i="22"/>
  <c r="AF56" i="22"/>
  <c r="AF89" i="2"/>
  <c r="AH51" i="22"/>
  <c r="AH56" i="22"/>
  <c r="AH89" i="2"/>
  <c r="D38" i="22"/>
  <c r="F49" i="22"/>
  <c r="F54" i="22"/>
  <c r="F49" i="2"/>
  <c r="Q51" i="22"/>
  <c r="Q56" i="22"/>
  <c r="Q89" i="2"/>
  <c r="AK50" i="22"/>
  <c r="AK55" i="22"/>
  <c r="AK69" i="2"/>
  <c r="F51" i="22"/>
  <c r="F56" i="22"/>
  <c r="F89" i="2"/>
  <c r="AR30" i="41"/>
  <c r="AR32" i="41"/>
  <c r="AP36" i="41"/>
  <c r="D69" i="2"/>
  <c r="D21" i="2"/>
  <c r="K38" i="10"/>
  <c r="D49" i="2"/>
  <c r="C21" i="2"/>
  <c r="J38" i="10"/>
  <c r="D55" i="22"/>
  <c r="D50" i="22"/>
  <c r="D40" i="22"/>
  <c r="J51" i="22"/>
  <c r="D49" i="22"/>
  <c r="D54" i="22"/>
  <c r="D39" i="22"/>
  <c r="D30" i="41"/>
  <c r="AP41" i="41"/>
  <c r="AP43" i="41"/>
  <c r="AP42" i="41"/>
  <c r="AR34" i="41"/>
  <c r="D32" i="41"/>
  <c r="J56" i="22"/>
  <c r="D51" i="22"/>
  <c r="AI54" i="21"/>
  <c r="AI68" i="21"/>
  <c r="AF52" i="21"/>
  <c r="AF66" i="21"/>
  <c r="I52" i="21"/>
  <c r="I66" i="21"/>
  <c r="AH52" i="21"/>
  <c r="AH66" i="21"/>
  <c r="W52" i="21"/>
  <c r="W66" i="21"/>
  <c r="AI53" i="21"/>
  <c r="AI67" i="21"/>
  <c r="AB54" i="21"/>
  <c r="AB68" i="21"/>
  <c r="J53" i="21"/>
  <c r="J67" i="21"/>
  <c r="V52" i="21"/>
  <c r="V66" i="21"/>
  <c r="I53" i="21"/>
  <c r="I67" i="21"/>
  <c r="AQ54" i="21"/>
  <c r="AQ68" i="21"/>
  <c r="N53" i="21"/>
  <c r="N67" i="21"/>
  <c r="AQ53" i="21"/>
  <c r="AQ67" i="21"/>
  <c r="AE53" i="21"/>
  <c r="AE67" i="21"/>
  <c r="V53" i="21"/>
  <c r="V67" i="21"/>
  <c r="R53" i="21"/>
  <c r="R67" i="21"/>
  <c r="T52" i="21"/>
  <c r="T66" i="21"/>
  <c r="O52" i="21"/>
  <c r="O66" i="21"/>
  <c r="X52" i="21"/>
  <c r="X66" i="21"/>
  <c r="AK54" i="21"/>
  <c r="AK68" i="21"/>
  <c r="AI52" i="21"/>
  <c r="AI66" i="21"/>
  <c r="U54" i="21"/>
  <c r="U68" i="21"/>
  <c r="U52" i="21"/>
  <c r="U66" i="21"/>
  <c r="Q53" i="21"/>
  <c r="Q67" i="21"/>
  <c r="AC53" i="21"/>
  <c r="AC67" i="21"/>
  <c r="T54" i="21"/>
  <c r="T68" i="21"/>
  <c r="AM53" i="21"/>
  <c r="AM67" i="21"/>
  <c r="AG54" i="21"/>
  <c r="AG68" i="21"/>
  <c r="AA52" i="21"/>
  <c r="AA66" i="21"/>
  <c r="AG52" i="21"/>
  <c r="AG66" i="21"/>
  <c r="AM54" i="21"/>
  <c r="AM68" i="21"/>
  <c r="L52" i="21"/>
  <c r="L66" i="21"/>
  <c r="P54" i="21"/>
  <c r="P68" i="21"/>
  <c r="Q54" i="21"/>
  <c r="Q68" i="21"/>
  <c r="AD52" i="21"/>
  <c r="AD66" i="21"/>
  <c r="M54" i="21"/>
  <c r="M68" i="21"/>
  <c r="AL53" i="21"/>
  <c r="AL67" i="21"/>
  <c r="Z52" i="21"/>
  <c r="Z66" i="21"/>
  <c r="N52" i="21"/>
  <c r="N66" i="21"/>
  <c r="W54" i="21"/>
  <c r="W68" i="21"/>
  <c r="X53" i="21"/>
  <c r="X67" i="21"/>
  <c r="AB52" i="21"/>
  <c r="AB66" i="21"/>
  <c r="AG53" i="21"/>
  <c r="AG67" i="21"/>
  <c r="W53" i="21"/>
  <c r="W67" i="21"/>
  <c r="O54" i="21"/>
  <c r="O68" i="21"/>
  <c r="Y54" i="21"/>
  <c r="Y68" i="21"/>
  <c r="AN52" i="21"/>
  <c r="AN66" i="21"/>
  <c r="AK52" i="21"/>
  <c r="AK66" i="21"/>
  <c r="AP53" i="21"/>
  <c r="AP67" i="21"/>
  <c r="AN53" i="21"/>
  <c r="AN67" i="21"/>
  <c r="G53" i="21"/>
  <c r="G67" i="21"/>
  <c r="AJ52" i="21"/>
  <c r="AJ66" i="21"/>
  <c r="H54" i="21"/>
  <c r="H68" i="21"/>
  <c r="L53" i="21"/>
  <c r="L67" i="21"/>
  <c r="AL54" i="21"/>
  <c r="AL68" i="21"/>
  <c r="AO52" i="21"/>
  <c r="AO66" i="21"/>
  <c r="O53" i="21"/>
  <c r="O67" i="21"/>
  <c r="K52" i="21"/>
  <c r="K66" i="21"/>
  <c r="V54" i="21"/>
  <c r="V68" i="21"/>
  <c r="AR52" i="21"/>
  <c r="AR66" i="21"/>
  <c r="H53" i="21"/>
  <c r="H67" i="21"/>
  <c r="AA54" i="21"/>
  <c r="AA68" i="21"/>
  <c r="AC52" i="21"/>
  <c r="AC66" i="21"/>
  <c r="M53" i="21"/>
  <c r="M67" i="21"/>
  <c r="AH53" i="21"/>
  <c r="AH67" i="21"/>
  <c r="AR53" i="21"/>
  <c r="AR67" i="21"/>
  <c r="K54" i="21"/>
  <c r="K68" i="21"/>
  <c r="AE54" i="21"/>
  <c r="AE68" i="21"/>
  <c r="AJ53" i="21"/>
  <c r="AJ67" i="21"/>
  <c r="S54" i="21"/>
  <c r="S68" i="21"/>
  <c r="Z53" i="21"/>
  <c r="Z67" i="21"/>
  <c r="D49" i="21"/>
  <c r="F54" i="21"/>
  <c r="F68" i="21"/>
  <c r="AB53" i="21"/>
  <c r="AB67" i="21"/>
  <c r="AD54" i="21"/>
  <c r="AD68" i="21"/>
  <c r="AP52" i="21"/>
  <c r="AP66" i="21"/>
  <c r="P53" i="21"/>
  <c r="P67" i="21"/>
  <c r="AE52" i="21"/>
  <c r="AE66" i="21"/>
  <c r="U53" i="21"/>
  <c r="U67" i="21"/>
  <c r="AJ54" i="21"/>
  <c r="AJ68" i="21"/>
  <c r="AP54" i="21"/>
  <c r="AP68" i="21"/>
  <c r="AN54" i="21"/>
  <c r="AN68" i="21"/>
  <c r="AH54" i="21"/>
  <c r="AH68" i="21"/>
  <c r="AM52" i="21"/>
  <c r="AM66" i="21"/>
  <c r="T53" i="21"/>
  <c r="T67" i="21"/>
  <c r="X54" i="21"/>
  <c r="X68" i="21"/>
  <c r="Z54" i="21"/>
  <c r="Z68" i="21"/>
  <c r="N54" i="21"/>
  <c r="N68" i="21"/>
  <c r="G54" i="21"/>
  <c r="G68" i="21"/>
  <c r="R54" i="21"/>
  <c r="R68" i="21"/>
  <c r="J54" i="21"/>
  <c r="J68" i="21"/>
  <c r="AA53" i="21"/>
  <c r="AA67" i="21"/>
  <c r="Y52" i="21"/>
  <c r="Y66" i="21"/>
  <c r="R52" i="21"/>
  <c r="R66" i="21"/>
  <c r="AQ52" i="21"/>
  <c r="AQ66" i="21"/>
  <c r="AO53" i="21"/>
  <c r="AO67" i="21"/>
  <c r="AO54" i="21"/>
  <c r="AO68" i="21"/>
  <c r="AC54" i="21"/>
  <c r="AC68" i="21"/>
  <c r="G52" i="21"/>
  <c r="G66" i="21"/>
  <c r="K53" i="21"/>
  <c r="K67" i="21"/>
  <c r="L54" i="21"/>
  <c r="L68" i="21"/>
  <c r="AL52" i="21"/>
  <c r="AL66" i="21"/>
  <c r="AF54" i="21"/>
  <c r="AF68" i="21"/>
  <c r="AF53" i="21"/>
  <c r="AF67" i="21"/>
  <c r="F53" i="21"/>
  <c r="F67" i="21"/>
  <c r="I54" i="21"/>
  <c r="I68" i="21"/>
  <c r="AK53" i="21"/>
  <c r="AK67" i="21"/>
  <c r="Q52" i="21"/>
  <c r="Q66" i="21"/>
  <c r="AR54" i="21"/>
  <c r="AR68" i="21"/>
  <c r="J52" i="21"/>
  <c r="J66" i="21"/>
  <c r="S52" i="21"/>
  <c r="S66" i="21"/>
  <c r="P52" i="21"/>
  <c r="P66" i="21"/>
  <c r="AD53" i="21"/>
  <c r="AD67" i="21"/>
  <c r="M52" i="21"/>
  <c r="M66" i="21"/>
  <c r="F52" i="21"/>
  <c r="F66" i="21"/>
  <c r="S53" i="21"/>
  <c r="S67" i="21"/>
  <c r="H52" i="21"/>
  <c r="H66" i="21"/>
  <c r="Y53" i="21"/>
  <c r="Y67" i="21"/>
  <c r="AR36" i="41"/>
  <c r="D34" i="41"/>
  <c r="AP66" i="2"/>
  <c r="AP86" i="2"/>
  <c r="AP46" i="2"/>
  <c r="Y77" i="21"/>
  <c r="Y73" i="2"/>
  <c r="Y74" i="2"/>
  <c r="S78" i="21"/>
  <c r="S93" i="2"/>
  <c r="S94" i="2"/>
  <c r="Z76" i="21"/>
  <c r="Z53" i="2"/>
  <c r="Z54" i="2"/>
  <c r="AR78" i="21"/>
  <c r="AR93" i="2"/>
  <c r="AR94" i="2"/>
  <c r="L78" i="21"/>
  <c r="L93" i="2"/>
  <c r="L94" i="2"/>
  <c r="Y76" i="21"/>
  <c r="Y53" i="2"/>
  <c r="Y54" i="2"/>
  <c r="T77" i="21"/>
  <c r="T73" i="2"/>
  <c r="T74" i="2"/>
  <c r="P77" i="21"/>
  <c r="P73" i="2"/>
  <c r="P74" i="2"/>
  <c r="AJ77" i="21"/>
  <c r="AJ73" i="2"/>
  <c r="AJ74" i="2"/>
  <c r="H77" i="21"/>
  <c r="H73" i="2"/>
  <c r="H74" i="2"/>
  <c r="H78" i="21"/>
  <c r="H93" i="2"/>
  <c r="H94" i="2"/>
  <c r="O78" i="21"/>
  <c r="O93" i="2"/>
  <c r="O94" i="2"/>
  <c r="AL77" i="21"/>
  <c r="AL73" i="2"/>
  <c r="AL74" i="2"/>
  <c r="AA76" i="21"/>
  <c r="AA53" i="2"/>
  <c r="AA54" i="2"/>
  <c r="AI76" i="21"/>
  <c r="AI53" i="2"/>
  <c r="AI54" i="2"/>
  <c r="AQ77" i="21"/>
  <c r="AQ73" i="2"/>
  <c r="AQ74" i="2"/>
  <c r="W76" i="21"/>
  <c r="W53" i="2"/>
  <c r="W54" i="2"/>
  <c r="X78" i="21"/>
  <c r="X93" i="2"/>
  <c r="X94" i="2"/>
  <c r="AG76" i="21"/>
  <c r="AG53" i="2"/>
  <c r="AG54" i="2"/>
  <c r="Q76" i="21"/>
  <c r="Q53" i="2"/>
  <c r="Q54" i="2"/>
  <c r="AE78" i="21"/>
  <c r="AE93" i="2"/>
  <c r="AE94" i="2"/>
  <c r="AJ76" i="21"/>
  <c r="AJ53" i="2"/>
  <c r="AJ54" i="2"/>
  <c r="W77" i="21"/>
  <c r="W73" i="2"/>
  <c r="W74" i="2"/>
  <c r="M78" i="21"/>
  <c r="M93" i="2"/>
  <c r="M94" i="2"/>
  <c r="AG78" i="21"/>
  <c r="AG93" i="2"/>
  <c r="AG94" i="2"/>
  <c r="AK78" i="21"/>
  <c r="AK93" i="2"/>
  <c r="AK94" i="2"/>
  <c r="N77" i="21"/>
  <c r="N73" i="2"/>
  <c r="N74" i="2"/>
  <c r="AH76" i="21"/>
  <c r="AH53" i="2"/>
  <c r="AH54" i="2"/>
  <c r="AE76" i="21"/>
  <c r="AE53" i="2"/>
  <c r="AE54" i="2"/>
  <c r="AE77" i="21"/>
  <c r="AE73" i="2"/>
  <c r="AE74" i="2"/>
  <c r="K77" i="21"/>
  <c r="K73" i="2"/>
  <c r="K74" i="2"/>
  <c r="G76" i="21"/>
  <c r="G53" i="2"/>
  <c r="G54" i="2"/>
  <c r="AH78" i="21"/>
  <c r="AH93" i="2"/>
  <c r="AH94" i="2"/>
  <c r="AD78" i="21"/>
  <c r="AD93" i="2"/>
  <c r="AD94" i="2"/>
  <c r="K78" i="21"/>
  <c r="K93" i="2"/>
  <c r="K94" i="2"/>
  <c r="V78" i="21"/>
  <c r="V93" i="2"/>
  <c r="V94" i="2"/>
  <c r="G77" i="21"/>
  <c r="G73" i="2"/>
  <c r="G74" i="2"/>
  <c r="AG77" i="21"/>
  <c r="AG73" i="2"/>
  <c r="AG74" i="2"/>
  <c r="AD76" i="21"/>
  <c r="AD53" i="2"/>
  <c r="AD54" i="2"/>
  <c r="AM77" i="21"/>
  <c r="AM73" i="2"/>
  <c r="AM74" i="2"/>
  <c r="X76" i="21"/>
  <c r="X53" i="2"/>
  <c r="X54" i="2"/>
  <c r="AQ78" i="21"/>
  <c r="AQ93" i="2"/>
  <c r="AQ94" i="2"/>
  <c r="I76" i="21"/>
  <c r="I53" i="2"/>
  <c r="I54" i="2"/>
  <c r="J76" i="21"/>
  <c r="J53" i="2"/>
  <c r="J54" i="2"/>
  <c r="L77" i="21"/>
  <c r="L73" i="2"/>
  <c r="L74" i="2"/>
  <c r="S77" i="21"/>
  <c r="S73" i="2"/>
  <c r="S74" i="2"/>
  <c r="AR76" i="21"/>
  <c r="AR53" i="2"/>
  <c r="AR54" i="2"/>
  <c r="M76" i="21"/>
  <c r="M53" i="2"/>
  <c r="M54" i="2"/>
  <c r="I78" i="21"/>
  <c r="I93" i="2"/>
  <c r="I94" i="2"/>
  <c r="AC78" i="21"/>
  <c r="AC93" i="2"/>
  <c r="AC94" i="2"/>
  <c r="R78" i="21"/>
  <c r="R93" i="2"/>
  <c r="R94" i="2"/>
  <c r="AN78" i="21"/>
  <c r="AN93" i="2"/>
  <c r="AN94" i="2"/>
  <c r="AB77" i="21"/>
  <c r="AB73" i="2"/>
  <c r="AB74" i="2"/>
  <c r="AR77" i="21"/>
  <c r="AR73" i="2"/>
  <c r="AR74" i="2"/>
  <c r="K76" i="21"/>
  <c r="K53" i="2"/>
  <c r="K54" i="2"/>
  <c r="AN77" i="21"/>
  <c r="AN73" i="2"/>
  <c r="AN74" i="2"/>
  <c r="AB76" i="21"/>
  <c r="AB53" i="2"/>
  <c r="AB54" i="2"/>
  <c r="Q78" i="21"/>
  <c r="Q93" i="2"/>
  <c r="Q94" i="2"/>
  <c r="T78" i="21"/>
  <c r="T93" i="2"/>
  <c r="T94" i="2"/>
  <c r="O76" i="21"/>
  <c r="O53" i="2"/>
  <c r="O54" i="2"/>
  <c r="I77" i="21"/>
  <c r="I73" i="2"/>
  <c r="I74" i="2"/>
  <c r="AF76" i="21"/>
  <c r="AF53" i="2"/>
  <c r="AF54" i="2"/>
  <c r="R76" i="21"/>
  <c r="R53" i="2"/>
  <c r="R54" i="2"/>
  <c r="U78" i="21"/>
  <c r="U93" i="2"/>
  <c r="U94" i="2"/>
  <c r="AM76" i="21"/>
  <c r="AM53" i="2"/>
  <c r="AM54" i="2"/>
  <c r="AK77" i="21"/>
  <c r="AK73" i="2"/>
  <c r="AK74" i="2"/>
  <c r="F77" i="21"/>
  <c r="F73" i="2"/>
  <c r="AP78" i="21"/>
  <c r="AP93" i="2"/>
  <c r="AP94" i="2"/>
  <c r="AH77" i="21"/>
  <c r="AH73" i="2"/>
  <c r="AH74" i="2"/>
  <c r="O77" i="21"/>
  <c r="O73" i="2"/>
  <c r="O74" i="2"/>
  <c r="AP77" i="21"/>
  <c r="AP73" i="2"/>
  <c r="AP74" i="2"/>
  <c r="X77" i="21"/>
  <c r="X73" i="2"/>
  <c r="X74" i="2"/>
  <c r="P78" i="21"/>
  <c r="P93" i="2"/>
  <c r="P94" i="2"/>
  <c r="AC77" i="21"/>
  <c r="AC73" i="2"/>
  <c r="AC74" i="2"/>
  <c r="T76" i="21"/>
  <c r="T53" i="2"/>
  <c r="T54" i="2"/>
  <c r="V76" i="21"/>
  <c r="V53" i="2"/>
  <c r="V54" i="2"/>
  <c r="AI78" i="21"/>
  <c r="AI93" i="2"/>
  <c r="AI94" i="2"/>
  <c r="AA78" i="21"/>
  <c r="AA93" i="2"/>
  <c r="AA94" i="2"/>
  <c r="AI77" i="21"/>
  <c r="AI73" i="2"/>
  <c r="AI74" i="2"/>
  <c r="AP76" i="21"/>
  <c r="AP53" i="2"/>
  <c r="AP54" i="2"/>
  <c r="F76" i="21"/>
  <c r="F53" i="2"/>
  <c r="AD77" i="21"/>
  <c r="AD73" i="2"/>
  <c r="AD74" i="2"/>
  <c r="G78" i="21"/>
  <c r="G93" i="2"/>
  <c r="G94" i="2"/>
  <c r="P76" i="21"/>
  <c r="P53" i="2"/>
  <c r="P54" i="2"/>
  <c r="AF77" i="21"/>
  <c r="AF73" i="2"/>
  <c r="AF74" i="2"/>
  <c r="AO77" i="21"/>
  <c r="AO73" i="2"/>
  <c r="AO74" i="2"/>
  <c r="N78" i="21"/>
  <c r="N93" i="2"/>
  <c r="N94" i="2"/>
  <c r="AJ78" i="21"/>
  <c r="AJ93" i="2"/>
  <c r="AJ94" i="2"/>
  <c r="M77" i="21"/>
  <c r="M73" i="2"/>
  <c r="M74" i="2"/>
  <c r="AO76" i="21"/>
  <c r="AO53" i="2"/>
  <c r="AO54" i="2"/>
  <c r="AK76" i="21"/>
  <c r="AK53" i="2"/>
  <c r="AK54" i="2"/>
  <c r="W78" i="21"/>
  <c r="W93" i="2"/>
  <c r="W94" i="2"/>
  <c r="L76" i="21"/>
  <c r="L53" i="2"/>
  <c r="L54" i="2"/>
  <c r="Q77" i="21"/>
  <c r="Q73" i="2"/>
  <c r="Q74" i="2"/>
  <c r="R77" i="21"/>
  <c r="R73" i="2"/>
  <c r="R74" i="2"/>
  <c r="J77" i="21"/>
  <c r="J73" i="2"/>
  <c r="J74" i="2"/>
  <c r="AL76" i="21"/>
  <c r="AL53" i="2"/>
  <c r="AL54" i="2"/>
  <c r="Y78" i="21"/>
  <c r="Y93" i="2"/>
  <c r="Y94" i="2"/>
  <c r="H76" i="21"/>
  <c r="H53" i="2"/>
  <c r="H54" i="2"/>
  <c r="AA77" i="21"/>
  <c r="AA73" i="2"/>
  <c r="AA74" i="2"/>
  <c r="J78" i="21"/>
  <c r="J93" i="2"/>
  <c r="J94" i="2"/>
  <c r="AO78" i="21"/>
  <c r="AO93" i="2"/>
  <c r="AO94" i="2"/>
  <c r="F78" i="21"/>
  <c r="F93" i="2"/>
  <c r="S76" i="21"/>
  <c r="S53" i="2"/>
  <c r="S54" i="2"/>
  <c r="AF78" i="21"/>
  <c r="AF93" i="2"/>
  <c r="AF94" i="2"/>
  <c r="AQ76" i="21"/>
  <c r="AQ53" i="2"/>
  <c r="AQ54" i="2"/>
  <c r="Z78" i="21"/>
  <c r="Z93" i="2"/>
  <c r="Z94" i="2"/>
  <c r="U77" i="21"/>
  <c r="U73" i="2"/>
  <c r="U74" i="2"/>
  <c r="Z77" i="21"/>
  <c r="Z73" i="2"/>
  <c r="Z74" i="2"/>
  <c r="AC76" i="21"/>
  <c r="AC53" i="2"/>
  <c r="AC54" i="2"/>
  <c r="AL78" i="21"/>
  <c r="AL93" i="2"/>
  <c r="AL94" i="2"/>
  <c r="AN76" i="21"/>
  <c r="AN53" i="2"/>
  <c r="AN54" i="2"/>
  <c r="N76" i="21"/>
  <c r="N53" i="2"/>
  <c r="N54" i="2"/>
  <c r="AM78" i="21"/>
  <c r="AM93" i="2"/>
  <c r="AM94" i="2"/>
  <c r="U76" i="21"/>
  <c r="U53" i="2"/>
  <c r="U54" i="2"/>
  <c r="V77" i="21"/>
  <c r="V73" i="2"/>
  <c r="V74" i="2"/>
  <c r="AB78" i="21"/>
  <c r="AB93" i="2"/>
  <c r="AB94" i="2"/>
  <c r="D56" i="22"/>
  <c r="J89" i="2"/>
  <c r="D89" i="2"/>
  <c r="E21" i="2"/>
  <c r="D52" i="21"/>
  <c r="D54" i="21"/>
  <c r="D67" i="21"/>
  <c r="D68" i="21"/>
  <c r="D53" i="21"/>
  <c r="AR42" i="41"/>
  <c r="AR41" i="41"/>
  <c r="AR43" i="41"/>
  <c r="D36" i="41"/>
  <c r="L38" i="10"/>
  <c r="F10" i="10"/>
  <c r="D78" i="21"/>
  <c r="D77" i="21"/>
  <c r="D76" i="21"/>
  <c r="F94" i="2"/>
  <c r="D94" i="2"/>
  <c r="D93" i="2"/>
  <c r="E27" i="2"/>
  <c r="F74" i="2"/>
  <c r="D74" i="2"/>
  <c r="D73" i="2"/>
  <c r="D27" i="2"/>
  <c r="D53" i="2"/>
  <c r="C27" i="2"/>
  <c r="F54" i="2"/>
  <c r="D54" i="2"/>
  <c r="D66" i="21"/>
  <c r="F53" i="23"/>
  <c r="F54" i="23"/>
  <c r="F69" i="23"/>
  <c r="F82" i="23"/>
  <c r="AR86" i="2"/>
  <c r="D86" i="2"/>
  <c r="E18" i="2"/>
  <c r="D43" i="41"/>
  <c r="AR46" i="2"/>
  <c r="D46" i="2"/>
  <c r="C18" i="2"/>
  <c r="D41" i="41"/>
  <c r="AR66" i="2"/>
  <c r="D66" i="2"/>
  <c r="D18" i="2"/>
  <c r="D42" i="41"/>
  <c r="F85" i="23"/>
  <c r="F29" i="28"/>
  <c r="F49" i="28"/>
  <c r="F51" i="28"/>
  <c r="J18" i="10"/>
  <c r="J26" i="10"/>
  <c r="J28" i="10"/>
  <c r="D28" i="2"/>
  <c r="D33" i="2"/>
  <c r="K18" i="10"/>
  <c r="K26" i="10"/>
  <c r="K28" i="10"/>
  <c r="E28" i="2"/>
  <c r="E33" i="2"/>
  <c r="L26" i="10"/>
  <c r="L28" i="10"/>
  <c r="L18" i="10"/>
  <c r="C28" i="2"/>
  <c r="C33" i="2"/>
  <c r="F51" i="26"/>
  <c r="F55" i="26"/>
  <c r="F59" i="26"/>
  <c r="F89" i="26"/>
  <c r="F93" i="26"/>
  <c r="F96" i="26"/>
  <c r="G54" i="23"/>
  <c r="G69" i="23"/>
  <c r="G85" i="23"/>
  <c r="G29" i="28"/>
  <c r="G49" i="28"/>
  <c r="G82" i="23"/>
  <c r="F31" i="28"/>
  <c r="F35" i="28"/>
  <c r="F37" i="28"/>
  <c r="F42" i="28"/>
  <c r="G89" i="26"/>
  <c r="G93" i="26"/>
  <c r="G96" i="26"/>
  <c r="G98" i="26"/>
  <c r="G101" i="26"/>
  <c r="G51" i="26"/>
  <c r="G55" i="26"/>
  <c r="G59" i="26"/>
  <c r="G61" i="26"/>
  <c r="G64" i="26"/>
  <c r="F98" i="26"/>
  <c r="F61" i="26"/>
  <c r="H54" i="23"/>
  <c r="H69" i="23"/>
  <c r="H85" i="23"/>
  <c r="H29" i="28"/>
  <c r="H49" i="28"/>
  <c r="H51" i="28"/>
  <c r="H82" i="23"/>
  <c r="G51" i="28"/>
  <c r="G31" i="28"/>
  <c r="G35" i="28"/>
  <c r="G37" i="28"/>
  <c r="G42" i="28"/>
  <c r="F44" i="28"/>
  <c r="F53" i="28"/>
  <c r="F59" i="28"/>
  <c r="F65" i="2"/>
  <c r="F58" i="28"/>
  <c r="F45" i="2"/>
  <c r="F60" i="28"/>
  <c r="F85" i="2"/>
  <c r="G105" i="26"/>
  <c r="G42" i="2"/>
  <c r="G106" i="26"/>
  <c r="G62" i="2"/>
  <c r="G107" i="26"/>
  <c r="G82" i="2"/>
  <c r="F64" i="26"/>
  <c r="H89" i="26"/>
  <c r="H93" i="26"/>
  <c r="H96" i="26"/>
  <c r="H98" i="26"/>
  <c r="H101" i="26"/>
  <c r="H51" i="26"/>
  <c r="H55" i="26"/>
  <c r="H59" i="26"/>
  <c r="H61" i="26"/>
  <c r="H64" i="26"/>
  <c r="F101" i="26"/>
  <c r="I54" i="23"/>
  <c r="I69" i="23"/>
  <c r="I85" i="23"/>
  <c r="I29" i="28"/>
  <c r="I49" i="28"/>
  <c r="I51" i="28"/>
  <c r="I82" i="23"/>
  <c r="H31" i="28"/>
  <c r="H35" i="28"/>
  <c r="H37" i="28"/>
  <c r="H42" i="28"/>
  <c r="G44" i="28"/>
  <c r="G53" i="28"/>
  <c r="F106" i="26"/>
  <c r="F62" i="2"/>
  <c r="F105" i="26"/>
  <c r="F42" i="2"/>
  <c r="F107" i="26"/>
  <c r="F82" i="2"/>
  <c r="H106" i="26"/>
  <c r="H62" i="2"/>
  <c r="H105" i="26"/>
  <c r="H42" i="2"/>
  <c r="H107" i="26"/>
  <c r="H82" i="2"/>
  <c r="D25" i="28"/>
  <c r="I51" i="26"/>
  <c r="I55" i="26"/>
  <c r="I59" i="26"/>
  <c r="I61" i="26"/>
  <c r="I89" i="26"/>
  <c r="I93" i="26"/>
  <c r="I96" i="26"/>
  <c r="I98" i="26"/>
  <c r="I101" i="26"/>
  <c r="J54" i="23"/>
  <c r="J69" i="23"/>
  <c r="J85" i="23"/>
  <c r="J29" i="28"/>
  <c r="J49" i="28"/>
  <c r="J51" i="28"/>
  <c r="J82" i="23"/>
  <c r="G58" i="28"/>
  <c r="G45" i="2"/>
  <c r="G50" i="2"/>
  <c r="G56" i="2"/>
  <c r="G59" i="28"/>
  <c r="G65" i="2"/>
  <c r="G70" i="2"/>
  <c r="G76" i="2"/>
  <c r="G60" i="28"/>
  <c r="G85" i="2"/>
  <c r="G90" i="2"/>
  <c r="G96" i="2"/>
  <c r="I31" i="28"/>
  <c r="I35" i="28"/>
  <c r="I37" i="28"/>
  <c r="I42" i="28"/>
  <c r="I44" i="28"/>
  <c r="H44" i="28"/>
  <c r="H53" i="28"/>
  <c r="F90" i="2"/>
  <c r="F70" i="2"/>
  <c r="F50" i="2"/>
  <c r="F56" i="2"/>
  <c r="I64" i="26"/>
  <c r="J89" i="26"/>
  <c r="J93" i="26"/>
  <c r="J96" i="26"/>
  <c r="J51" i="26"/>
  <c r="J55" i="26"/>
  <c r="J59" i="26"/>
  <c r="K54" i="23"/>
  <c r="K69" i="23"/>
  <c r="I53" i="28"/>
  <c r="I60" i="28"/>
  <c r="I85" i="2"/>
  <c r="K85" i="23"/>
  <c r="K29" i="28"/>
  <c r="K49" i="28"/>
  <c r="K51" i="28"/>
  <c r="K82" i="23"/>
  <c r="H58" i="28"/>
  <c r="H45" i="2"/>
  <c r="H50" i="2"/>
  <c r="H56" i="2"/>
  <c r="H59" i="28"/>
  <c r="H65" i="2"/>
  <c r="H70" i="2"/>
  <c r="H76" i="2"/>
  <c r="H60" i="28"/>
  <c r="H85" i="2"/>
  <c r="H90" i="2"/>
  <c r="H96" i="2"/>
  <c r="J31" i="28"/>
  <c r="J35" i="28"/>
  <c r="J37" i="28"/>
  <c r="J42" i="28"/>
  <c r="F76" i="2"/>
  <c r="F96" i="2"/>
  <c r="I107" i="26"/>
  <c r="I82" i="2"/>
  <c r="I105" i="26"/>
  <c r="I42" i="2"/>
  <c r="I106" i="26"/>
  <c r="I62" i="2"/>
  <c r="K89" i="26"/>
  <c r="K93" i="26"/>
  <c r="K96" i="26"/>
  <c r="K98" i="26"/>
  <c r="K101" i="26"/>
  <c r="K51" i="26"/>
  <c r="K55" i="26"/>
  <c r="K59" i="26"/>
  <c r="K61" i="26"/>
  <c r="K64" i="26"/>
  <c r="J61" i="26"/>
  <c r="J98" i="26"/>
  <c r="L54" i="23"/>
  <c r="L69" i="23"/>
  <c r="L85" i="23"/>
  <c r="L29" i="28"/>
  <c r="L49" i="28"/>
  <c r="L51" i="28"/>
  <c r="L82" i="23"/>
  <c r="I58" i="28"/>
  <c r="I45" i="2"/>
  <c r="I50" i="2"/>
  <c r="I56" i="2"/>
  <c r="I59" i="28"/>
  <c r="I65" i="2"/>
  <c r="I70" i="2"/>
  <c r="K31" i="28"/>
  <c r="K35" i="28"/>
  <c r="K37" i="28"/>
  <c r="K42" i="28"/>
  <c r="J44" i="28"/>
  <c r="J53" i="28"/>
  <c r="I90" i="2"/>
  <c r="K107" i="26"/>
  <c r="K82" i="2"/>
  <c r="K105" i="26"/>
  <c r="K42" i="2"/>
  <c r="K106" i="26"/>
  <c r="K62" i="2"/>
  <c r="L89" i="26"/>
  <c r="L93" i="26"/>
  <c r="L96" i="26"/>
  <c r="L51" i="26"/>
  <c r="L55" i="26"/>
  <c r="L59" i="26"/>
  <c r="J101" i="26"/>
  <c r="J64" i="26"/>
  <c r="M54" i="23"/>
  <c r="M69" i="23"/>
  <c r="M85" i="23"/>
  <c r="M29" i="28"/>
  <c r="M49" i="28"/>
  <c r="M51" i="28"/>
  <c r="M82" i="23"/>
  <c r="J59" i="28"/>
  <c r="J65" i="2"/>
  <c r="J60" i="28"/>
  <c r="J85" i="2"/>
  <c r="J58" i="28"/>
  <c r="J45" i="2"/>
  <c r="L31" i="28"/>
  <c r="L35" i="28"/>
  <c r="L37" i="28"/>
  <c r="L42" i="28"/>
  <c r="K44" i="28"/>
  <c r="K53" i="28"/>
  <c r="I96" i="2"/>
  <c r="I76" i="2"/>
  <c r="J107" i="26"/>
  <c r="J82" i="2"/>
  <c r="J105" i="26"/>
  <c r="J42" i="2"/>
  <c r="J106" i="26"/>
  <c r="J62" i="2"/>
  <c r="M89" i="26"/>
  <c r="M93" i="26"/>
  <c r="M96" i="26"/>
  <c r="M98" i="26"/>
  <c r="M101" i="26"/>
  <c r="M51" i="26"/>
  <c r="M55" i="26"/>
  <c r="M59" i="26"/>
  <c r="M61" i="26"/>
  <c r="M64" i="26"/>
  <c r="L61" i="26"/>
  <c r="L98" i="26"/>
  <c r="N54" i="23"/>
  <c r="N69" i="23"/>
  <c r="N85" i="23"/>
  <c r="N29" i="28"/>
  <c r="N49" i="28"/>
  <c r="N51" i="28"/>
  <c r="N82" i="23"/>
  <c r="K60" i="28"/>
  <c r="K85" i="2"/>
  <c r="K90" i="2"/>
  <c r="K96" i="2"/>
  <c r="K58" i="28"/>
  <c r="K45" i="2"/>
  <c r="K50" i="2"/>
  <c r="K56" i="2"/>
  <c r="K59" i="28"/>
  <c r="K65" i="2"/>
  <c r="K70" i="2"/>
  <c r="K76" i="2"/>
  <c r="M31" i="28"/>
  <c r="M35" i="28"/>
  <c r="M37" i="28"/>
  <c r="M42" i="28"/>
  <c r="L44" i="28"/>
  <c r="L53" i="28"/>
  <c r="J90" i="2"/>
  <c r="J70" i="2"/>
  <c r="M105" i="26"/>
  <c r="M42" i="2"/>
  <c r="M106" i="26"/>
  <c r="M62" i="2"/>
  <c r="M107" i="26"/>
  <c r="M82" i="2"/>
  <c r="J50" i="2"/>
  <c r="J56" i="2"/>
  <c r="N51" i="26"/>
  <c r="N55" i="26"/>
  <c r="N59" i="26"/>
  <c r="N61" i="26"/>
  <c r="N64" i="26"/>
  <c r="N89" i="26"/>
  <c r="N93" i="26"/>
  <c r="N96" i="26"/>
  <c r="N98" i="26"/>
  <c r="N101" i="26"/>
  <c r="L101" i="26"/>
  <c r="L64" i="26"/>
  <c r="O54" i="23"/>
  <c r="O69" i="23"/>
  <c r="O85" i="23"/>
  <c r="O29" i="28"/>
  <c r="O49" i="28"/>
  <c r="O51" i="28"/>
  <c r="O82" i="23"/>
  <c r="L60" i="28"/>
  <c r="L85" i="2"/>
  <c r="L58" i="28"/>
  <c r="L45" i="2"/>
  <c r="L59" i="28"/>
  <c r="L65" i="2"/>
  <c r="N31" i="28"/>
  <c r="N35" i="28"/>
  <c r="N37" i="28"/>
  <c r="N42" i="28"/>
  <c r="M44" i="28"/>
  <c r="M53" i="28"/>
  <c r="J76" i="2"/>
  <c r="J96" i="2"/>
  <c r="L105" i="26"/>
  <c r="L42" i="2"/>
  <c r="L106" i="26"/>
  <c r="L62" i="2"/>
  <c r="L107" i="26"/>
  <c r="L82" i="2"/>
  <c r="N105" i="26"/>
  <c r="N42" i="2"/>
  <c r="N106" i="26"/>
  <c r="N62" i="2"/>
  <c r="N107" i="26"/>
  <c r="N82" i="2"/>
  <c r="O89" i="26"/>
  <c r="O93" i="26"/>
  <c r="O96" i="26"/>
  <c r="O98" i="26"/>
  <c r="O101" i="26"/>
  <c r="O51" i="26"/>
  <c r="O55" i="26"/>
  <c r="O59" i="26"/>
  <c r="O61" i="26"/>
  <c r="O64" i="26"/>
  <c r="P54" i="23"/>
  <c r="P69" i="23"/>
  <c r="P85" i="23"/>
  <c r="P29" i="28"/>
  <c r="P49" i="28"/>
  <c r="P51" i="28"/>
  <c r="P82" i="23"/>
  <c r="M58" i="28"/>
  <c r="M45" i="2"/>
  <c r="M50" i="2"/>
  <c r="M56" i="2"/>
  <c r="M59" i="28"/>
  <c r="M65" i="2"/>
  <c r="M70" i="2"/>
  <c r="M76" i="2"/>
  <c r="M60" i="28"/>
  <c r="M85" i="2"/>
  <c r="M90" i="2"/>
  <c r="M96" i="2"/>
  <c r="O31" i="28"/>
  <c r="O35" i="28"/>
  <c r="O37" i="28"/>
  <c r="O42" i="28"/>
  <c r="N44" i="28"/>
  <c r="N53" i="28"/>
  <c r="L70" i="2"/>
  <c r="L90" i="2"/>
  <c r="O105" i="26"/>
  <c r="O42" i="2"/>
  <c r="O106" i="26"/>
  <c r="O62" i="2"/>
  <c r="O107" i="26"/>
  <c r="O82" i="2"/>
  <c r="L50" i="2"/>
  <c r="L56" i="2"/>
  <c r="P89" i="26"/>
  <c r="P93" i="26"/>
  <c r="P96" i="26"/>
  <c r="P98" i="26"/>
  <c r="P101" i="26"/>
  <c r="P51" i="26"/>
  <c r="P55" i="26"/>
  <c r="P59" i="26"/>
  <c r="P61" i="26"/>
  <c r="P64" i="26"/>
  <c r="Q54" i="23"/>
  <c r="Q69" i="23"/>
  <c r="Q85" i="23"/>
  <c r="Q29" i="28"/>
  <c r="Q49" i="28"/>
  <c r="Q51" i="28"/>
  <c r="Q82" i="23"/>
  <c r="N58" i="28"/>
  <c r="N45" i="2"/>
  <c r="N50" i="2"/>
  <c r="N56" i="2"/>
  <c r="N59" i="28"/>
  <c r="N65" i="2"/>
  <c r="N70" i="2"/>
  <c r="N76" i="2"/>
  <c r="N60" i="28"/>
  <c r="N85" i="2"/>
  <c r="N90" i="2"/>
  <c r="N96" i="2"/>
  <c r="P31" i="28"/>
  <c r="P35" i="28"/>
  <c r="P37" i="28"/>
  <c r="P42" i="28"/>
  <c r="O44" i="28"/>
  <c r="O53" i="28"/>
  <c r="L96" i="2"/>
  <c r="L76" i="2"/>
  <c r="P106" i="26"/>
  <c r="P62" i="2"/>
  <c r="P107" i="26"/>
  <c r="P82" i="2"/>
  <c r="P105" i="26"/>
  <c r="P42" i="2"/>
  <c r="Q89" i="26"/>
  <c r="Q93" i="26"/>
  <c r="Q96" i="26"/>
  <c r="Q98" i="26"/>
  <c r="Q101" i="26"/>
  <c r="Q51" i="26"/>
  <c r="Q55" i="26"/>
  <c r="Q59" i="26"/>
  <c r="Q61" i="26"/>
  <c r="Q64" i="26"/>
  <c r="R54" i="23"/>
  <c r="R69" i="23"/>
  <c r="R85" i="23"/>
  <c r="R29" i="28"/>
  <c r="R49" i="28"/>
  <c r="R51" i="28"/>
  <c r="R82" i="23"/>
  <c r="O58" i="28"/>
  <c r="O45" i="2"/>
  <c r="O50" i="2"/>
  <c r="O56" i="2"/>
  <c r="O59" i="28"/>
  <c r="O65" i="2"/>
  <c r="O70" i="2"/>
  <c r="O76" i="2"/>
  <c r="O60" i="28"/>
  <c r="O85" i="2"/>
  <c r="O90" i="2"/>
  <c r="O96" i="2"/>
  <c r="Q31" i="28"/>
  <c r="Q35" i="28"/>
  <c r="Q37" i="28"/>
  <c r="Q42" i="28"/>
  <c r="P44" i="28"/>
  <c r="P53" i="28"/>
  <c r="Q107" i="26"/>
  <c r="Q82" i="2"/>
  <c r="Q106" i="26"/>
  <c r="Q62" i="2"/>
  <c r="Q105" i="26"/>
  <c r="Q42" i="2"/>
  <c r="R89" i="26"/>
  <c r="R93" i="26"/>
  <c r="R96" i="26"/>
  <c r="R98" i="26"/>
  <c r="R101" i="26"/>
  <c r="R51" i="26"/>
  <c r="R55" i="26"/>
  <c r="R59" i="26"/>
  <c r="R61" i="26"/>
  <c r="R64" i="26"/>
  <c r="S54" i="23"/>
  <c r="S69" i="23"/>
  <c r="S85" i="23"/>
  <c r="S29" i="28"/>
  <c r="S49" i="28"/>
  <c r="S51" i="28"/>
  <c r="S82" i="23"/>
  <c r="P58" i="28"/>
  <c r="P45" i="2"/>
  <c r="P50" i="2"/>
  <c r="P56" i="2"/>
  <c r="P59" i="28"/>
  <c r="P65" i="2"/>
  <c r="P70" i="2"/>
  <c r="P76" i="2"/>
  <c r="P60" i="28"/>
  <c r="P85" i="2"/>
  <c r="P90" i="2"/>
  <c r="P96" i="2"/>
  <c r="R31" i="28"/>
  <c r="R35" i="28"/>
  <c r="R37" i="28"/>
  <c r="R42" i="28"/>
  <c r="Q44" i="28"/>
  <c r="Q53" i="28"/>
  <c r="R106" i="26"/>
  <c r="R62" i="2"/>
  <c r="R105" i="26"/>
  <c r="R42" i="2"/>
  <c r="R107" i="26"/>
  <c r="R82" i="2"/>
  <c r="S89" i="26"/>
  <c r="S93" i="26"/>
  <c r="S96" i="26"/>
  <c r="S98" i="26"/>
  <c r="S101" i="26"/>
  <c r="S51" i="26"/>
  <c r="S55" i="26"/>
  <c r="S59" i="26"/>
  <c r="S61" i="26"/>
  <c r="S64" i="26"/>
  <c r="T54" i="23"/>
  <c r="T69" i="23"/>
  <c r="T85" i="23"/>
  <c r="T29" i="28"/>
  <c r="T49" i="28"/>
  <c r="T51" i="28"/>
  <c r="T82" i="23"/>
  <c r="Q59" i="28"/>
  <c r="Q65" i="2"/>
  <c r="Q70" i="2"/>
  <c r="Q76" i="2"/>
  <c r="Q60" i="28"/>
  <c r="Q85" i="2"/>
  <c r="Q90" i="2"/>
  <c r="Q96" i="2"/>
  <c r="Q58" i="28"/>
  <c r="Q45" i="2"/>
  <c r="Q50" i="2"/>
  <c r="Q56" i="2"/>
  <c r="S31" i="28"/>
  <c r="S35" i="28"/>
  <c r="S37" i="28"/>
  <c r="S42" i="28"/>
  <c r="R44" i="28"/>
  <c r="R53" i="28"/>
  <c r="S106" i="26"/>
  <c r="S62" i="2"/>
  <c r="S105" i="26"/>
  <c r="S42" i="2"/>
  <c r="S107" i="26"/>
  <c r="S82" i="2"/>
  <c r="T89" i="26"/>
  <c r="T93" i="26"/>
  <c r="T96" i="26"/>
  <c r="T98" i="26"/>
  <c r="T101" i="26"/>
  <c r="T51" i="26"/>
  <c r="T55" i="26"/>
  <c r="T59" i="26"/>
  <c r="T61" i="26"/>
  <c r="T64" i="26"/>
  <c r="U54" i="23"/>
  <c r="U69" i="23"/>
  <c r="U85" i="23"/>
  <c r="U29" i="28"/>
  <c r="U49" i="28"/>
  <c r="U51" i="28"/>
  <c r="U82" i="23"/>
  <c r="R59" i="28"/>
  <c r="R65" i="2"/>
  <c r="R70" i="2"/>
  <c r="R76" i="2"/>
  <c r="R60" i="28"/>
  <c r="R85" i="2"/>
  <c r="R90" i="2"/>
  <c r="R96" i="2"/>
  <c r="R58" i="28"/>
  <c r="R45" i="2"/>
  <c r="R50" i="2"/>
  <c r="R56" i="2"/>
  <c r="T31" i="28"/>
  <c r="T35" i="28"/>
  <c r="T37" i="28"/>
  <c r="T42" i="28"/>
  <c r="S44" i="28"/>
  <c r="S53" i="28"/>
  <c r="T107" i="26"/>
  <c r="T82" i="2"/>
  <c r="T105" i="26"/>
  <c r="T42" i="2"/>
  <c r="T106" i="26"/>
  <c r="T62" i="2"/>
  <c r="U89" i="26"/>
  <c r="U93" i="26"/>
  <c r="U96" i="26"/>
  <c r="U98" i="26"/>
  <c r="U101" i="26"/>
  <c r="U51" i="26"/>
  <c r="U55" i="26"/>
  <c r="U59" i="26"/>
  <c r="U61" i="26"/>
  <c r="U64" i="26"/>
  <c r="V54" i="23"/>
  <c r="V69" i="23"/>
  <c r="V85" i="23"/>
  <c r="V29" i="28"/>
  <c r="V49" i="28"/>
  <c r="V51" i="28"/>
  <c r="V82" i="23"/>
  <c r="S60" i="28"/>
  <c r="S85" i="2"/>
  <c r="S90" i="2"/>
  <c r="S96" i="2"/>
  <c r="S58" i="28"/>
  <c r="S45" i="2"/>
  <c r="S50" i="2"/>
  <c r="S56" i="2"/>
  <c r="S59" i="28"/>
  <c r="S65" i="2"/>
  <c r="S70" i="2"/>
  <c r="S76" i="2"/>
  <c r="U31" i="28"/>
  <c r="U35" i="28"/>
  <c r="U37" i="28"/>
  <c r="U42" i="28"/>
  <c r="T44" i="28"/>
  <c r="T53" i="28"/>
  <c r="U105" i="26"/>
  <c r="U42" i="2"/>
  <c r="U106" i="26"/>
  <c r="U62" i="2"/>
  <c r="U107" i="26"/>
  <c r="U82" i="2"/>
  <c r="V89" i="26"/>
  <c r="V93" i="26"/>
  <c r="V96" i="26"/>
  <c r="V98" i="26"/>
  <c r="V101" i="26"/>
  <c r="V51" i="26"/>
  <c r="V55" i="26"/>
  <c r="V59" i="26"/>
  <c r="V61" i="26"/>
  <c r="V64" i="26"/>
  <c r="W54" i="23"/>
  <c r="W69" i="23"/>
  <c r="W85" i="23"/>
  <c r="W29" i="28"/>
  <c r="W49" i="28"/>
  <c r="W51" i="28"/>
  <c r="W82" i="23"/>
  <c r="T60" i="28"/>
  <c r="T85" i="2"/>
  <c r="T90" i="2"/>
  <c r="T96" i="2"/>
  <c r="T58" i="28"/>
  <c r="T45" i="2"/>
  <c r="T50" i="2"/>
  <c r="T56" i="2"/>
  <c r="T59" i="28"/>
  <c r="T65" i="2"/>
  <c r="T70" i="2"/>
  <c r="T76" i="2"/>
  <c r="V31" i="28"/>
  <c r="V35" i="28"/>
  <c r="V37" i="28"/>
  <c r="V42" i="28"/>
  <c r="U44" i="28"/>
  <c r="U53" i="28"/>
  <c r="V105" i="26"/>
  <c r="V42" i="2"/>
  <c r="V106" i="26"/>
  <c r="V62" i="2"/>
  <c r="V107" i="26"/>
  <c r="V82" i="2"/>
  <c r="W89" i="26"/>
  <c r="W93" i="26"/>
  <c r="W96" i="26"/>
  <c r="W98" i="26"/>
  <c r="W101" i="26"/>
  <c r="W51" i="26"/>
  <c r="W55" i="26"/>
  <c r="W59" i="26"/>
  <c r="W61" i="26"/>
  <c r="W64" i="26"/>
  <c r="X54" i="23"/>
  <c r="X69" i="23"/>
  <c r="X85" i="23"/>
  <c r="X29" i="28"/>
  <c r="X49" i="28"/>
  <c r="X51" i="28"/>
  <c r="X82" i="23"/>
  <c r="U58" i="28"/>
  <c r="U45" i="2"/>
  <c r="U50" i="2"/>
  <c r="U56" i="2"/>
  <c r="U59" i="28"/>
  <c r="U65" i="2"/>
  <c r="U70" i="2"/>
  <c r="U76" i="2"/>
  <c r="U60" i="28"/>
  <c r="U85" i="2"/>
  <c r="U90" i="2"/>
  <c r="U96" i="2"/>
  <c r="W31" i="28"/>
  <c r="W35" i="28"/>
  <c r="W37" i="28"/>
  <c r="W42" i="28"/>
  <c r="V44" i="28"/>
  <c r="V53" i="28"/>
  <c r="W105" i="26"/>
  <c r="W42" i="2"/>
  <c r="W106" i="26"/>
  <c r="W62" i="2"/>
  <c r="W107" i="26"/>
  <c r="W82" i="2"/>
  <c r="X89" i="26"/>
  <c r="X93" i="26"/>
  <c r="X96" i="26"/>
  <c r="X98" i="26"/>
  <c r="X101" i="26"/>
  <c r="X51" i="26"/>
  <c r="X55" i="26"/>
  <c r="X59" i="26"/>
  <c r="X61" i="26"/>
  <c r="X64" i="26"/>
  <c r="Y54" i="23"/>
  <c r="Y69" i="23"/>
  <c r="Y85" i="23"/>
  <c r="Y29" i="28"/>
  <c r="Y49" i="28"/>
  <c r="Y51" i="28"/>
  <c r="Y82" i="23"/>
  <c r="V58" i="28"/>
  <c r="V45" i="2"/>
  <c r="V50" i="2"/>
  <c r="V56" i="2"/>
  <c r="V59" i="28"/>
  <c r="V65" i="2"/>
  <c r="V70" i="2"/>
  <c r="V76" i="2"/>
  <c r="V60" i="28"/>
  <c r="V85" i="2"/>
  <c r="V90" i="2"/>
  <c r="V96" i="2"/>
  <c r="X31" i="28"/>
  <c r="X35" i="28"/>
  <c r="X37" i="28"/>
  <c r="X42" i="28"/>
  <c r="W44" i="28"/>
  <c r="W53" i="28"/>
  <c r="X106" i="26"/>
  <c r="X62" i="2"/>
  <c r="X107" i="26"/>
  <c r="X82" i="2"/>
  <c r="X105" i="26"/>
  <c r="X42" i="2"/>
  <c r="Y51" i="26"/>
  <c r="Y55" i="26"/>
  <c r="Y59" i="26"/>
  <c r="Y61" i="26"/>
  <c r="Y64" i="26"/>
  <c r="Y89" i="26"/>
  <c r="Y93" i="26"/>
  <c r="Y96" i="26"/>
  <c r="Y98" i="26"/>
  <c r="Y101" i="26"/>
  <c r="Z54" i="23"/>
  <c r="Z69" i="23"/>
  <c r="Z85" i="23"/>
  <c r="Z29" i="28"/>
  <c r="Z49" i="28"/>
  <c r="Z51" i="28"/>
  <c r="Z82" i="23"/>
  <c r="W58" i="28"/>
  <c r="W45" i="2"/>
  <c r="W50" i="2"/>
  <c r="W56" i="2"/>
  <c r="W59" i="28"/>
  <c r="W65" i="2"/>
  <c r="W70" i="2"/>
  <c r="W76" i="2"/>
  <c r="W60" i="28"/>
  <c r="W85" i="2"/>
  <c r="W90" i="2"/>
  <c r="W96" i="2"/>
  <c r="Y31" i="28"/>
  <c r="Y35" i="28"/>
  <c r="Y37" i="28"/>
  <c r="Y42" i="28"/>
  <c r="X44" i="28"/>
  <c r="X53" i="28"/>
  <c r="Y107" i="26"/>
  <c r="Y82" i="2"/>
  <c r="Y106" i="26"/>
  <c r="Y62" i="2"/>
  <c r="Y105" i="26"/>
  <c r="Y42" i="2"/>
  <c r="Z89" i="26"/>
  <c r="Z93" i="26"/>
  <c r="Z96" i="26"/>
  <c r="Z98" i="26"/>
  <c r="Z101" i="26"/>
  <c r="Z51" i="26"/>
  <c r="Z55" i="26"/>
  <c r="Z59" i="26"/>
  <c r="Z61" i="26"/>
  <c r="Z64" i="26"/>
  <c r="AA54" i="23"/>
  <c r="AA69" i="23"/>
  <c r="AA85" i="23"/>
  <c r="AA29" i="28"/>
  <c r="AA49" i="28"/>
  <c r="AA51" i="28"/>
  <c r="AA82" i="23"/>
  <c r="X58" i="28"/>
  <c r="X45" i="2"/>
  <c r="X50" i="2"/>
  <c r="X56" i="2"/>
  <c r="X59" i="28"/>
  <c r="X65" i="2"/>
  <c r="X70" i="2"/>
  <c r="X76" i="2"/>
  <c r="X60" i="28"/>
  <c r="X85" i="2"/>
  <c r="X90" i="2"/>
  <c r="X96" i="2"/>
  <c r="Z31" i="28"/>
  <c r="Z35" i="28"/>
  <c r="Z37" i="28"/>
  <c r="Z42" i="28"/>
  <c r="Y44" i="28"/>
  <c r="Y53" i="28"/>
  <c r="Z107" i="26"/>
  <c r="Z82" i="2"/>
  <c r="Z105" i="26"/>
  <c r="Z42" i="2"/>
  <c r="Z106" i="26"/>
  <c r="Z62" i="2"/>
  <c r="AA89" i="26"/>
  <c r="AA93" i="26"/>
  <c r="AA96" i="26"/>
  <c r="AA98" i="26"/>
  <c r="AA101" i="26"/>
  <c r="AA51" i="26"/>
  <c r="AA55" i="26"/>
  <c r="AA59" i="26"/>
  <c r="AA61" i="26"/>
  <c r="AA64" i="26"/>
  <c r="AB54" i="23"/>
  <c r="AB69" i="23"/>
  <c r="AB85" i="23"/>
  <c r="AB29" i="28"/>
  <c r="AB49" i="28"/>
  <c r="AB51" i="28"/>
  <c r="AB82" i="23"/>
  <c r="Y59" i="28"/>
  <c r="Y65" i="2"/>
  <c r="Y70" i="2"/>
  <c r="Y76" i="2"/>
  <c r="Y60" i="28"/>
  <c r="Y85" i="2"/>
  <c r="Y90" i="2"/>
  <c r="Y96" i="2"/>
  <c r="Y58" i="28"/>
  <c r="Y45" i="2"/>
  <c r="Y50" i="2"/>
  <c r="Y56" i="2"/>
  <c r="AA31" i="28"/>
  <c r="AA35" i="28"/>
  <c r="AA37" i="28"/>
  <c r="AA42" i="28"/>
  <c r="Z44" i="28"/>
  <c r="Z53" i="28"/>
  <c r="AA107" i="26"/>
  <c r="AA82" i="2"/>
  <c r="AA105" i="26"/>
  <c r="AA42" i="2"/>
  <c r="AA106" i="26"/>
  <c r="AA62" i="2"/>
  <c r="AB89" i="26"/>
  <c r="AB93" i="26"/>
  <c r="AB96" i="26"/>
  <c r="AB98" i="26"/>
  <c r="AB101" i="26"/>
  <c r="AB51" i="26"/>
  <c r="AB55" i="26"/>
  <c r="AB59" i="26"/>
  <c r="AB61" i="26"/>
  <c r="AB64" i="26"/>
  <c r="AC54" i="23"/>
  <c r="AC69" i="23"/>
  <c r="AC85" i="23"/>
  <c r="AC29" i="28"/>
  <c r="AC49" i="28"/>
  <c r="AC51" i="28"/>
  <c r="AC82" i="23"/>
  <c r="Z59" i="28"/>
  <c r="Z65" i="2"/>
  <c r="Z70" i="2"/>
  <c r="Z76" i="2"/>
  <c r="Z60" i="28"/>
  <c r="Z85" i="2"/>
  <c r="Z90" i="2"/>
  <c r="Z96" i="2"/>
  <c r="Z58" i="28"/>
  <c r="Z45" i="2"/>
  <c r="Z50" i="2"/>
  <c r="Z56" i="2"/>
  <c r="AB31" i="28"/>
  <c r="AB35" i="28"/>
  <c r="AB37" i="28"/>
  <c r="AB42" i="28"/>
  <c r="AA44" i="28"/>
  <c r="AA53" i="28"/>
  <c r="AB107" i="26"/>
  <c r="AB82" i="2"/>
  <c r="AB105" i="26"/>
  <c r="AB42" i="2"/>
  <c r="AB106" i="26"/>
  <c r="AB62" i="2"/>
  <c r="AC89" i="26"/>
  <c r="AC93" i="26"/>
  <c r="AC96" i="26"/>
  <c r="AC98" i="26"/>
  <c r="AC101" i="26"/>
  <c r="AC51" i="26"/>
  <c r="AC55" i="26"/>
  <c r="AC59" i="26"/>
  <c r="AC61" i="26"/>
  <c r="AC64" i="26"/>
  <c r="AD54" i="23"/>
  <c r="AD69" i="23"/>
  <c r="AD85" i="23"/>
  <c r="AD29" i="28"/>
  <c r="AD49" i="28"/>
  <c r="AD51" i="28"/>
  <c r="AD82" i="23"/>
  <c r="AA60" i="28"/>
  <c r="AA85" i="2"/>
  <c r="AA90" i="2"/>
  <c r="AA96" i="2"/>
  <c r="AA58" i="28"/>
  <c r="AA45" i="2"/>
  <c r="AA50" i="2"/>
  <c r="AA56" i="2"/>
  <c r="AA59" i="28"/>
  <c r="AA65" i="2"/>
  <c r="AA70" i="2"/>
  <c r="AA76" i="2"/>
  <c r="AC31" i="28"/>
  <c r="AC35" i="28"/>
  <c r="AC37" i="28"/>
  <c r="AC42" i="28"/>
  <c r="AB44" i="28"/>
  <c r="AB53" i="28"/>
  <c r="AC105" i="26"/>
  <c r="AC42" i="2"/>
  <c r="AC106" i="26"/>
  <c r="AC62" i="2"/>
  <c r="AC107" i="26"/>
  <c r="AC82" i="2"/>
  <c r="AD89" i="26"/>
  <c r="AD93" i="26"/>
  <c r="AD96" i="26"/>
  <c r="AD98" i="26"/>
  <c r="AD101" i="26"/>
  <c r="AD51" i="26"/>
  <c r="AD55" i="26"/>
  <c r="AD59" i="26"/>
  <c r="AD61" i="26"/>
  <c r="AD64" i="26"/>
  <c r="AE54" i="23"/>
  <c r="AE69" i="23"/>
  <c r="AE85" i="23"/>
  <c r="AE29" i="28"/>
  <c r="AE49" i="28"/>
  <c r="AE51" i="28"/>
  <c r="AE82" i="23"/>
  <c r="AB60" i="28"/>
  <c r="AB85" i="2"/>
  <c r="AB90" i="2"/>
  <c r="AB96" i="2"/>
  <c r="AB58" i="28"/>
  <c r="AB45" i="2"/>
  <c r="AB50" i="2"/>
  <c r="AB56" i="2"/>
  <c r="AB59" i="28"/>
  <c r="AB65" i="2"/>
  <c r="AB70" i="2"/>
  <c r="AB76" i="2"/>
  <c r="AD31" i="28"/>
  <c r="AD35" i="28"/>
  <c r="AD37" i="28"/>
  <c r="AD42" i="28"/>
  <c r="AC44" i="28"/>
  <c r="AC53" i="28"/>
  <c r="AD105" i="26"/>
  <c r="AD42" i="2"/>
  <c r="AD106" i="26"/>
  <c r="AD62" i="2"/>
  <c r="AD107" i="26"/>
  <c r="AD82" i="2"/>
  <c r="AE89" i="26"/>
  <c r="AE93" i="26"/>
  <c r="AE96" i="26"/>
  <c r="AE98" i="26"/>
  <c r="AE101" i="26"/>
  <c r="AE51" i="26"/>
  <c r="AE55" i="26"/>
  <c r="AE59" i="26"/>
  <c r="AE61" i="26"/>
  <c r="AE64" i="26"/>
  <c r="AF54" i="23"/>
  <c r="AF69" i="23"/>
  <c r="AF85" i="23"/>
  <c r="AF29" i="28"/>
  <c r="AF49" i="28"/>
  <c r="AF51" i="28"/>
  <c r="AF82" i="23"/>
  <c r="AC58" i="28"/>
  <c r="AC45" i="2"/>
  <c r="AC50" i="2"/>
  <c r="AC56" i="2"/>
  <c r="AC59" i="28"/>
  <c r="AC65" i="2"/>
  <c r="AC70" i="2"/>
  <c r="AC76" i="2"/>
  <c r="AC60" i="28"/>
  <c r="AC85" i="2"/>
  <c r="AC90" i="2"/>
  <c r="AC96" i="2"/>
  <c r="AE31" i="28"/>
  <c r="AE35" i="28"/>
  <c r="AE37" i="28"/>
  <c r="AE42" i="28"/>
  <c r="AD44" i="28"/>
  <c r="AD53" i="28"/>
  <c r="AE105" i="26"/>
  <c r="AE42" i="2"/>
  <c r="AE107" i="26"/>
  <c r="AE82" i="2"/>
  <c r="AE106" i="26"/>
  <c r="AE62" i="2"/>
  <c r="AF89" i="26"/>
  <c r="AF93" i="26"/>
  <c r="AF96" i="26"/>
  <c r="AF98" i="26"/>
  <c r="AF101" i="26"/>
  <c r="AF51" i="26"/>
  <c r="AF55" i="26"/>
  <c r="AF59" i="26"/>
  <c r="AF61" i="26"/>
  <c r="AF64" i="26"/>
  <c r="AG54" i="23"/>
  <c r="AG69" i="23"/>
  <c r="AG85" i="23"/>
  <c r="AG29" i="28"/>
  <c r="AG49" i="28"/>
  <c r="AG51" i="28"/>
  <c r="AG82" i="23"/>
  <c r="AD58" i="28"/>
  <c r="AD45" i="2"/>
  <c r="AD50" i="2"/>
  <c r="AD56" i="2"/>
  <c r="AD59" i="28"/>
  <c r="AD65" i="2"/>
  <c r="AD70" i="2"/>
  <c r="AD76" i="2"/>
  <c r="AD60" i="28"/>
  <c r="AD85" i="2"/>
  <c r="AD90" i="2"/>
  <c r="AD96" i="2"/>
  <c r="AF31" i="28"/>
  <c r="AF35" i="28"/>
  <c r="AF37" i="28"/>
  <c r="AF42" i="28"/>
  <c r="AE44" i="28"/>
  <c r="AE53" i="28"/>
  <c r="AF106" i="26"/>
  <c r="AF62" i="2"/>
  <c r="AF105" i="26"/>
  <c r="AF42" i="2"/>
  <c r="AF107" i="26"/>
  <c r="AF82" i="2"/>
  <c r="AG89" i="26"/>
  <c r="AG93" i="26"/>
  <c r="AG96" i="26"/>
  <c r="AG98" i="26"/>
  <c r="AG101" i="26"/>
  <c r="AG51" i="26"/>
  <c r="AG55" i="26"/>
  <c r="AG59" i="26"/>
  <c r="AG61" i="26"/>
  <c r="AG64" i="26"/>
  <c r="AH54" i="23"/>
  <c r="AH69" i="23"/>
  <c r="AH85" i="23"/>
  <c r="AH29" i="28"/>
  <c r="AH49" i="28"/>
  <c r="AH51" i="28"/>
  <c r="AH82" i="23"/>
  <c r="AE58" i="28"/>
  <c r="AE45" i="2"/>
  <c r="AE50" i="2"/>
  <c r="AE56" i="2"/>
  <c r="AE59" i="28"/>
  <c r="AE65" i="2"/>
  <c r="AE70" i="2"/>
  <c r="AE76" i="2"/>
  <c r="AE60" i="28"/>
  <c r="AE85" i="2"/>
  <c r="AE90" i="2"/>
  <c r="AE96" i="2"/>
  <c r="AG31" i="28"/>
  <c r="AG35" i="28"/>
  <c r="AG37" i="28"/>
  <c r="AG42" i="28"/>
  <c r="AF44" i="28"/>
  <c r="AF53" i="28"/>
  <c r="AG107" i="26"/>
  <c r="AG82" i="2"/>
  <c r="AG105" i="26"/>
  <c r="AG42" i="2"/>
  <c r="AG106" i="26"/>
  <c r="AG62" i="2"/>
  <c r="AH89" i="26"/>
  <c r="AH93" i="26"/>
  <c r="AH96" i="26"/>
  <c r="AH98" i="26"/>
  <c r="AH101" i="26"/>
  <c r="AH51" i="26"/>
  <c r="AH55" i="26"/>
  <c r="AH59" i="26"/>
  <c r="AH61" i="26"/>
  <c r="AI54" i="23"/>
  <c r="AI69" i="23"/>
  <c r="AI85" i="23"/>
  <c r="AI29" i="28"/>
  <c r="AI49" i="28"/>
  <c r="AI51" i="28"/>
  <c r="AI82" i="23"/>
  <c r="AH64" i="26"/>
  <c r="AH106" i="26"/>
  <c r="AH62" i="2"/>
  <c r="V23" i="10"/>
  <c r="AF58" i="28"/>
  <c r="AF45" i="2"/>
  <c r="AF50" i="2"/>
  <c r="AF56" i="2"/>
  <c r="AF59" i="28"/>
  <c r="AF65" i="2"/>
  <c r="AF70" i="2"/>
  <c r="AF76" i="2"/>
  <c r="AF60" i="28"/>
  <c r="AF85" i="2"/>
  <c r="AF90" i="2"/>
  <c r="AF96" i="2"/>
  <c r="AH31" i="28"/>
  <c r="AH35" i="28"/>
  <c r="AH37" i="28"/>
  <c r="AH42" i="28"/>
  <c r="AG44" i="28"/>
  <c r="AG53" i="28"/>
  <c r="AI89" i="26"/>
  <c r="AI93" i="26"/>
  <c r="AI96" i="26"/>
  <c r="AI98" i="26"/>
  <c r="AI101" i="26"/>
  <c r="AI51" i="26"/>
  <c r="AI55" i="26"/>
  <c r="AI59" i="26"/>
  <c r="AI61" i="26"/>
  <c r="AI64" i="26"/>
  <c r="AJ54" i="23"/>
  <c r="AJ69" i="23"/>
  <c r="AJ85" i="23"/>
  <c r="AJ29" i="28"/>
  <c r="AJ49" i="28"/>
  <c r="AJ51" i="28"/>
  <c r="AJ82" i="23"/>
  <c r="AH107" i="26"/>
  <c r="AH82" i="2"/>
  <c r="AH105" i="26"/>
  <c r="W24" i="10"/>
  <c r="AG59" i="28"/>
  <c r="AG65" i="2"/>
  <c r="AG70" i="2"/>
  <c r="AG76" i="2"/>
  <c r="AG60" i="28"/>
  <c r="AG85" i="2"/>
  <c r="AG90" i="2"/>
  <c r="AG96" i="2"/>
  <c r="AG58" i="28"/>
  <c r="AG45" i="2"/>
  <c r="AG50" i="2"/>
  <c r="AG56" i="2"/>
  <c r="AI31" i="28"/>
  <c r="AI35" i="28"/>
  <c r="AI37" i="28"/>
  <c r="AI42" i="28"/>
  <c r="AH44" i="28"/>
  <c r="AH53" i="28"/>
  <c r="AI106" i="26"/>
  <c r="AI62" i="2"/>
  <c r="AI107" i="26"/>
  <c r="AI82" i="2"/>
  <c r="AI105" i="26"/>
  <c r="AI42" i="2"/>
  <c r="AJ89" i="26"/>
  <c r="AJ93" i="26"/>
  <c r="AJ96" i="26"/>
  <c r="AJ98" i="26"/>
  <c r="AJ101" i="26"/>
  <c r="AJ51" i="26"/>
  <c r="AJ55" i="26"/>
  <c r="AJ59" i="26"/>
  <c r="AJ61" i="26"/>
  <c r="AJ64" i="26"/>
  <c r="AK54" i="23"/>
  <c r="AK69" i="23"/>
  <c r="AK85" i="23"/>
  <c r="AK29" i="28"/>
  <c r="AK49" i="28"/>
  <c r="AK51" i="28"/>
  <c r="AK82" i="23"/>
  <c r="AH42" i="2"/>
  <c r="W23" i="10"/>
  <c r="AH59" i="28"/>
  <c r="AH65" i="2"/>
  <c r="AH70" i="2"/>
  <c r="AH76" i="2"/>
  <c r="AH60" i="28"/>
  <c r="AH85" i="2"/>
  <c r="AH90" i="2"/>
  <c r="AH96" i="2"/>
  <c r="AH58" i="28"/>
  <c r="AH45" i="2"/>
  <c r="AJ31" i="28"/>
  <c r="AJ35" i="28"/>
  <c r="AJ37" i="28"/>
  <c r="AJ42" i="28"/>
  <c r="AI44" i="28"/>
  <c r="AI53" i="28"/>
  <c r="AJ107" i="26"/>
  <c r="AJ82" i="2"/>
  <c r="AJ105" i="26"/>
  <c r="AJ42" i="2"/>
  <c r="AJ106" i="26"/>
  <c r="AJ62" i="2"/>
  <c r="AK89" i="26"/>
  <c r="AK93" i="26"/>
  <c r="AK96" i="26"/>
  <c r="AK98" i="26"/>
  <c r="AK101" i="26"/>
  <c r="AK51" i="26"/>
  <c r="AK55" i="26"/>
  <c r="AK59" i="26"/>
  <c r="AK61" i="26"/>
  <c r="AK64" i="26"/>
  <c r="AL54" i="23"/>
  <c r="AL69" i="23"/>
  <c r="AL85" i="23"/>
  <c r="AL29" i="28"/>
  <c r="AL49" i="28"/>
  <c r="AL51" i="28"/>
  <c r="AL82" i="23"/>
  <c r="AH50" i="2"/>
  <c r="AH56" i="2"/>
  <c r="AI60" i="28"/>
  <c r="AI85" i="2"/>
  <c r="AI90" i="2"/>
  <c r="AI96" i="2"/>
  <c r="AI58" i="28"/>
  <c r="AI45" i="2"/>
  <c r="AI50" i="2"/>
  <c r="AI56" i="2"/>
  <c r="AI59" i="28"/>
  <c r="AI65" i="2"/>
  <c r="AI70" i="2"/>
  <c r="AI76" i="2"/>
  <c r="AK31" i="28"/>
  <c r="AK35" i="28"/>
  <c r="AK37" i="28"/>
  <c r="AK42" i="28"/>
  <c r="AJ44" i="28"/>
  <c r="AJ53" i="28"/>
  <c r="AK105" i="26"/>
  <c r="AK42" i="2"/>
  <c r="AK106" i="26"/>
  <c r="AK62" i="2"/>
  <c r="AK107" i="26"/>
  <c r="AK82" i="2"/>
  <c r="AL89" i="26"/>
  <c r="AL93" i="26"/>
  <c r="AL96" i="26"/>
  <c r="AL98" i="26"/>
  <c r="AL101" i="26"/>
  <c r="AL51" i="26"/>
  <c r="AL55" i="26"/>
  <c r="AL59" i="26"/>
  <c r="AL61" i="26"/>
  <c r="AL64" i="26"/>
  <c r="AM54" i="23"/>
  <c r="AM69" i="23"/>
  <c r="AM85" i="23"/>
  <c r="AM29" i="28"/>
  <c r="AM49" i="28"/>
  <c r="AM51" i="28"/>
  <c r="AM82" i="23"/>
  <c r="AJ60" i="28"/>
  <c r="AJ85" i="2"/>
  <c r="AJ90" i="2"/>
  <c r="AJ96" i="2"/>
  <c r="AJ58" i="28"/>
  <c r="AJ45" i="2"/>
  <c r="AJ50" i="2"/>
  <c r="AJ56" i="2"/>
  <c r="AJ59" i="28"/>
  <c r="AJ65" i="2"/>
  <c r="AJ70" i="2"/>
  <c r="AJ76" i="2"/>
  <c r="AL31" i="28"/>
  <c r="AL35" i="28"/>
  <c r="AL37" i="28"/>
  <c r="AL42" i="28"/>
  <c r="AK44" i="28"/>
  <c r="AK53" i="28"/>
  <c r="AL105" i="26"/>
  <c r="AL42" i="2"/>
  <c r="AL106" i="26"/>
  <c r="AL62" i="2"/>
  <c r="AL107" i="26"/>
  <c r="AL82" i="2"/>
  <c r="AM89" i="26"/>
  <c r="AM93" i="26"/>
  <c r="AM96" i="26"/>
  <c r="AM98" i="26"/>
  <c r="AM101" i="26"/>
  <c r="AM51" i="26"/>
  <c r="AM55" i="26"/>
  <c r="AM59" i="26"/>
  <c r="AM61" i="26"/>
  <c r="AM64" i="26"/>
  <c r="AN54" i="23"/>
  <c r="AN69" i="23"/>
  <c r="AN85" i="23"/>
  <c r="AN29" i="28"/>
  <c r="AN49" i="28"/>
  <c r="AN51" i="28"/>
  <c r="AN82" i="23"/>
  <c r="AK58" i="28"/>
  <c r="AK45" i="2"/>
  <c r="AK50" i="2"/>
  <c r="AK56" i="2"/>
  <c r="AK59" i="28"/>
  <c r="AK65" i="2"/>
  <c r="AK70" i="2"/>
  <c r="AK76" i="2"/>
  <c r="AK60" i="28"/>
  <c r="AK85" i="2"/>
  <c r="AK90" i="2"/>
  <c r="AK96" i="2"/>
  <c r="AM31" i="28"/>
  <c r="AM35" i="28"/>
  <c r="AM37" i="28"/>
  <c r="AM42" i="28"/>
  <c r="AL44" i="28"/>
  <c r="AL53" i="28"/>
  <c r="AM105" i="26"/>
  <c r="AM42" i="2"/>
  <c r="AM106" i="26"/>
  <c r="AM62" i="2"/>
  <c r="AM107" i="26"/>
  <c r="AM82" i="2"/>
  <c r="AN89" i="26"/>
  <c r="AN93" i="26"/>
  <c r="AN96" i="26"/>
  <c r="AN98" i="26"/>
  <c r="AN101" i="26"/>
  <c r="AN51" i="26"/>
  <c r="AN55" i="26"/>
  <c r="AN59" i="26"/>
  <c r="AN61" i="26"/>
  <c r="AN64" i="26"/>
  <c r="AO54" i="23"/>
  <c r="AO69" i="23"/>
  <c r="AO85" i="23"/>
  <c r="AO29" i="28"/>
  <c r="AO49" i="28"/>
  <c r="AO51" i="28"/>
  <c r="AO82" i="23"/>
  <c r="AL58" i="28"/>
  <c r="AL45" i="2"/>
  <c r="AL50" i="2"/>
  <c r="AL56" i="2"/>
  <c r="AL59" i="28"/>
  <c r="AL65" i="2"/>
  <c r="AL70" i="2"/>
  <c r="AL76" i="2"/>
  <c r="AL60" i="28"/>
  <c r="AL85" i="2"/>
  <c r="AL90" i="2"/>
  <c r="AL96" i="2"/>
  <c r="AN31" i="28"/>
  <c r="AN35" i="28"/>
  <c r="AN37" i="28"/>
  <c r="AN42" i="28"/>
  <c r="AM44" i="28"/>
  <c r="AM53" i="28"/>
  <c r="AN106" i="26"/>
  <c r="AN62" i="2"/>
  <c r="AN107" i="26"/>
  <c r="AN82" i="2"/>
  <c r="AN105" i="26"/>
  <c r="AN42" i="2"/>
  <c r="AO51" i="26"/>
  <c r="AO55" i="26"/>
  <c r="AO59" i="26"/>
  <c r="AO61" i="26"/>
  <c r="AO64" i="26"/>
  <c r="AO89" i="26"/>
  <c r="AO93" i="26"/>
  <c r="AO96" i="26"/>
  <c r="AO98" i="26"/>
  <c r="AO101" i="26"/>
  <c r="AP54" i="23"/>
  <c r="AP69" i="23"/>
  <c r="AP85" i="23"/>
  <c r="AP29" i="28"/>
  <c r="AP49" i="28"/>
  <c r="AP51" i="28"/>
  <c r="AP82" i="23"/>
  <c r="AM58" i="28"/>
  <c r="AM45" i="2"/>
  <c r="AM50" i="2"/>
  <c r="AM56" i="2"/>
  <c r="AM59" i="28"/>
  <c r="AM65" i="2"/>
  <c r="AM70" i="2"/>
  <c r="AM76" i="2"/>
  <c r="AM60" i="28"/>
  <c r="AM85" i="2"/>
  <c r="AM90" i="2"/>
  <c r="AM96" i="2"/>
  <c r="AO31" i="28"/>
  <c r="AO35" i="28"/>
  <c r="AO37" i="28"/>
  <c r="AO42" i="28"/>
  <c r="AN44" i="28"/>
  <c r="AN53" i="28"/>
  <c r="AO107" i="26"/>
  <c r="AO82" i="2"/>
  <c r="AO106" i="26"/>
  <c r="AO62" i="2"/>
  <c r="AO105" i="26"/>
  <c r="AO42" i="2"/>
  <c r="AP89" i="26"/>
  <c r="AP93" i="26"/>
  <c r="AP96" i="26"/>
  <c r="AP98" i="26"/>
  <c r="AP101" i="26"/>
  <c r="AP51" i="26"/>
  <c r="AP55" i="26"/>
  <c r="AP59" i="26"/>
  <c r="AP61" i="26"/>
  <c r="AP64" i="26"/>
  <c r="AQ54" i="23"/>
  <c r="AQ69" i="23"/>
  <c r="AQ85" i="23"/>
  <c r="AQ29" i="28"/>
  <c r="AQ49" i="28"/>
  <c r="AQ51" i="28"/>
  <c r="AQ82" i="23"/>
  <c r="AN58" i="28"/>
  <c r="AN45" i="2"/>
  <c r="AN50" i="2"/>
  <c r="AN56" i="2"/>
  <c r="AN59" i="28"/>
  <c r="AN65" i="2"/>
  <c r="AN70" i="2"/>
  <c r="AN76" i="2"/>
  <c r="AN60" i="28"/>
  <c r="AN85" i="2"/>
  <c r="AN90" i="2"/>
  <c r="AN96" i="2"/>
  <c r="AP31" i="28"/>
  <c r="AP35" i="28"/>
  <c r="AP37" i="28"/>
  <c r="AP42" i="28"/>
  <c r="AO44" i="28"/>
  <c r="AO53" i="28"/>
  <c r="AP106" i="26"/>
  <c r="AP62" i="2"/>
  <c r="AP105" i="26"/>
  <c r="AP42" i="2"/>
  <c r="AP107" i="26"/>
  <c r="AP82" i="2"/>
  <c r="AQ89" i="26"/>
  <c r="AQ93" i="26"/>
  <c r="AQ96" i="26"/>
  <c r="AQ98" i="26"/>
  <c r="AQ101" i="26"/>
  <c r="AQ51" i="26"/>
  <c r="AQ55" i="26"/>
  <c r="AQ59" i="26"/>
  <c r="AQ61" i="26"/>
  <c r="AQ64" i="26"/>
  <c r="AR54" i="23"/>
  <c r="AR69" i="23"/>
  <c r="AR82" i="23"/>
  <c r="AR85" i="23"/>
  <c r="AR29" i="28"/>
  <c r="AR49" i="28"/>
  <c r="D69" i="23"/>
  <c r="AO59" i="28"/>
  <c r="AO65" i="2"/>
  <c r="AO70" i="2"/>
  <c r="AO76" i="2"/>
  <c r="AO60" i="28"/>
  <c r="AO85" i="2"/>
  <c r="AO90" i="2"/>
  <c r="AO96" i="2"/>
  <c r="AO58" i="28"/>
  <c r="AO45" i="2"/>
  <c r="AO50" i="2"/>
  <c r="AO56" i="2"/>
  <c r="AQ31" i="28"/>
  <c r="AQ35" i="28"/>
  <c r="AQ37" i="28"/>
  <c r="AQ42" i="28"/>
  <c r="AP44" i="28"/>
  <c r="AP53" i="28"/>
  <c r="AQ106" i="26"/>
  <c r="AQ62" i="2"/>
  <c r="AQ105" i="26"/>
  <c r="AQ42" i="2"/>
  <c r="AQ107" i="26"/>
  <c r="AQ82" i="2"/>
  <c r="AR89" i="26"/>
  <c r="AR93" i="26"/>
  <c r="AR96" i="26"/>
  <c r="AR51" i="26"/>
  <c r="AR55" i="26"/>
  <c r="AR59" i="26"/>
  <c r="D85" i="23"/>
  <c r="AP59" i="28"/>
  <c r="AP65" i="2"/>
  <c r="AP70" i="2"/>
  <c r="AP76" i="2"/>
  <c r="AP60" i="28"/>
  <c r="AP85" i="2"/>
  <c r="AP90" i="2"/>
  <c r="AP96" i="2"/>
  <c r="AP58" i="28"/>
  <c r="AP45" i="2"/>
  <c r="AP50" i="2"/>
  <c r="AP56" i="2"/>
  <c r="AR51" i="28"/>
  <c r="D51" i="28"/>
  <c r="D49" i="28"/>
  <c r="AR31" i="28"/>
  <c r="AR35" i="28"/>
  <c r="AR37" i="28"/>
  <c r="AR42" i="28"/>
  <c r="AR44" i="28"/>
  <c r="AQ44" i="28"/>
  <c r="AQ53" i="28"/>
  <c r="AR61" i="26"/>
  <c r="D59" i="26"/>
  <c r="AR98" i="26"/>
  <c r="D96" i="26"/>
  <c r="AR53" i="28"/>
  <c r="D44" i="28"/>
  <c r="AQ60" i="28"/>
  <c r="AQ85" i="2"/>
  <c r="AQ90" i="2"/>
  <c r="AQ96" i="2"/>
  <c r="AQ58" i="28"/>
  <c r="AQ45" i="2"/>
  <c r="AQ50" i="2"/>
  <c r="AQ56" i="2"/>
  <c r="AQ59" i="28"/>
  <c r="AQ65" i="2"/>
  <c r="AQ70" i="2"/>
  <c r="AQ76" i="2"/>
  <c r="D42" i="28"/>
  <c r="D35" i="28"/>
  <c r="AR64" i="26"/>
  <c r="D61" i="26"/>
  <c r="D37" i="28"/>
  <c r="AR101" i="26"/>
  <c r="D101" i="26"/>
  <c r="D98" i="26"/>
  <c r="D47" i="33"/>
  <c r="D46" i="33"/>
  <c r="D45" i="33"/>
  <c r="D37" i="33"/>
  <c r="D100" i="29"/>
  <c r="D98" i="29"/>
  <c r="D99" i="29"/>
  <c r="D56" i="29"/>
  <c r="AR105" i="26"/>
  <c r="AR42" i="2"/>
  <c r="D42" i="2"/>
  <c r="C14" i="2"/>
  <c r="AR106" i="26"/>
  <c r="AR107" i="26"/>
  <c r="D64" i="26"/>
  <c r="J33" i="10"/>
  <c r="D107" i="26"/>
  <c r="AR82" i="2"/>
  <c r="D106" i="26"/>
  <c r="AR62" i="2"/>
  <c r="D105" i="26"/>
  <c r="AR58" i="28"/>
  <c r="D53" i="28"/>
  <c r="AR60" i="28"/>
  <c r="AR59" i="28"/>
  <c r="D62" i="2"/>
  <c r="D14" i="2"/>
  <c r="D82" i="2"/>
  <c r="E14" i="2"/>
  <c r="F5" i="10"/>
  <c r="AR45" i="2"/>
  <c r="D58" i="28"/>
  <c r="AR65" i="2"/>
  <c r="D59" i="28"/>
  <c r="AR85" i="2"/>
  <c r="D60" i="28"/>
  <c r="K33" i="10"/>
  <c r="L33" i="10"/>
  <c r="D85" i="2"/>
  <c r="E17" i="2"/>
  <c r="AR90" i="2"/>
  <c r="D65" i="2"/>
  <c r="D17" i="2"/>
  <c r="AR70" i="2"/>
  <c r="D45" i="2"/>
  <c r="C17" i="2"/>
  <c r="AR50" i="2"/>
  <c r="J36" i="10"/>
  <c r="C22" i="2"/>
  <c r="D70" i="2"/>
  <c r="AR76" i="2"/>
  <c r="D76" i="2"/>
  <c r="K36" i="10"/>
  <c r="D22" i="2"/>
  <c r="AR56" i="2"/>
  <c r="D50" i="2"/>
  <c r="AR96" i="2"/>
  <c r="D96" i="2"/>
  <c r="D90" i="2"/>
  <c r="F8" i="10"/>
  <c r="F11" i="10"/>
  <c r="L36" i="10"/>
  <c r="E22" i="2"/>
  <c r="F18" i="2"/>
  <c r="D56" i="2"/>
  <c r="C37" i="2"/>
  <c r="J21" i="10"/>
  <c r="K39" i="10"/>
  <c r="D32" i="2"/>
  <c r="K16" i="10"/>
  <c r="J16" i="10"/>
  <c r="C32" i="2"/>
  <c r="J39" i="10"/>
  <c r="F20" i="2"/>
  <c r="F14" i="2"/>
  <c r="F13" i="2"/>
  <c r="L16" i="10"/>
  <c r="F15" i="2"/>
  <c r="F17" i="2"/>
  <c r="E32" i="2"/>
  <c r="F21" i="2"/>
  <c r="L39" i="10"/>
  <c r="F16" i="2"/>
  <c r="F19" i="2"/>
  <c r="F22" i="2"/>
  <c r="E34" i="2"/>
  <c r="D5" i="1"/>
  <c r="F5" i="1"/>
  <c r="E35" i="2"/>
  <c r="C35" i="2"/>
  <c r="J20" i="10"/>
  <c r="C34" i="2"/>
  <c r="D34" i="2"/>
  <c r="D35" i="2"/>
  <c r="K20" i="10"/>
  <c r="D36" i="2"/>
  <c r="K19" i="10"/>
  <c r="J19" i="10"/>
  <c r="C36" i="2"/>
  <c r="E9" i="2"/>
  <c r="L20" i="10"/>
  <c r="AH13" i="10"/>
  <c r="L19" i="10"/>
  <c r="E36" i="2"/>
  <c r="Z9" i="20"/>
  <c r="D3" i="29"/>
  <c r="K1" i="18"/>
  <c r="D3" i="26"/>
  <c r="D3" i="35"/>
  <c r="J1" i="17"/>
  <c r="D3" i="24"/>
  <c r="D3" i="22"/>
  <c r="D3" i="23"/>
  <c r="D3" i="33"/>
  <c r="D4" i="41"/>
  <c r="D4" i="28"/>
  <c r="D6" i="1"/>
  <c r="AJ13" i="10"/>
  <c r="A3" i="1" l="1"/>
  <c r="A3" i="41"/>
  <c r="A3" i="22"/>
  <c r="A3" i="23"/>
  <c r="A3" i="21"/>
  <c r="A3" i="24"/>
  <c r="A3" i="26"/>
  <c r="A3" i="29"/>
  <c r="A3" i="28"/>
  <c r="A3" i="35"/>
</calcChain>
</file>

<file path=xl/sharedStrings.xml><?xml version="1.0" encoding="utf-8"?>
<sst xmlns="http://schemas.openxmlformats.org/spreadsheetml/2006/main" count="2590" uniqueCount="1046">
  <si>
    <t>Multimodal Improvements to Safely Connect Tulsa at US-75 and 81st Street Interchange</t>
  </si>
  <si>
    <t>Benefits-Cost Analysis (BCA) Summary</t>
  </si>
  <si>
    <t>All $ values 2023, unless otherwise noted</t>
  </si>
  <si>
    <t>Calculation</t>
  </si>
  <si>
    <t>Note</t>
  </si>
  <si>
    <t>Input</t>
  </si>
  <si>
    <t>Sensitivity</t>
  </si>
  <si>
    <t>Sensitivity On?</t>
  </si>
  <si>
    <t>Benefit Cost Ratio (3.1% disc.*)</t>
  </si>
  <si>
    <t>Discount Factor</t>
  </si>
  <si>
    <t>Benefits ($ millions)</t>
  </si>
  <si>
    <t>% of Benefit</t>
  </si>
  <si>
    <t>Safety Benefits</t>
  </si>
  <si>
    <t xml:space="preserve">Travel Time </t>
  </si>
  <si>
    <t>Reduced Vehicle Operating Costs</t>
  </si>
  <si>
    <t>Emissions Reduction*</t>
  </si>
  <si>
    <t>Pedestrian / Cycling Improvements</t>
  </si>
  <si>
    <t>Induced Pedestrian Demand</t>
  </si>
  <si>
    <t>Reduced Bridge Hits</t>
  </si>
  <si>
    <t>Reduced Maintenance Costs</t>
  </si>
  <si>
    <t>Residual Value</t>
  </si>
  <si>
    <t>Present Value of Benefit (Cost)</t>
  </si>
  <si>
    <t>*Emissions 3.1% discount factor includes 2% discount for CO2</t>
  </si>
  <si>
    <t>Costs ($ millions)</t>
  </si>
  <si>
    <t>Capital Cost</t>
  </si>
  <si>
    <t>Financial Metrics ($ millions)</t>
  </si>
  <si>
    <t>Present Value of Benefits</t>
  </si>
  <si>
    <t>Present Value of Costs</t>
  </si>
  <si>
    <t>Net Present Value (NPV)</t>
  </si>
  <si>
    <t xml:space="preserve">Benefit Cost Ratio </t>
  </si>
  <si>
    <t>Return on Investment</t>
  </si>
  <si>
    <t>Internal Rate of Return</t>
  </si>
  <si>
    <t>Results - Undiscounted</t>
  </si>
  <si>
    <t>Benefits</t>
  </si>
  <si>
    <t>Total</t>
  </si>
  <si>
    <t>Emmisions Reduction</t>
  </si>
  <si>
    <t>Pedestrian / Cycling Improvments</t>
  </si>
  <si>
    <t>Reduced Maintenance</t>
  </si>
  <si>
    <t>Costs</t>
  </si>
  <si>
    <t>Net Present Value of Benefits - Costs</t>
  </si>
  <si>
    <t>Results - 2% Discount</t>
  </si>
  <si>
    <t>Results - 3.1% Discount</t>
  </si>
  <si>
    <t>Inputs</t>
  </si>
  <si>
    <t>Base Case NPV</t>
  </si>
  <si>
    <t>% Change</t>
  </si>
  <si>
    <t>NPV</t>
  </si>
  <si>
    <t>Category</t>
  </si>
  <si>
    <t>Variable</t>
  </si>
  <si>
    <t>Unit</t>
  </si>
  <si>
    <t>Value</t>
  </si>
  <si>
    <t xml:space="preserve">Source </t>
  </si>
  <si>
    <t>Periodic Values</t>
  </si>
  <si>
    <t>Timing</t>
  </si>
  <si>
    <t>Model Start Year</t>
  </si>
  <si>
    <t>Year</t>
  </si>
  <si>
    <t>Model Constraint</t>
  </si>
  <si>
    <t>Base Year of Analysis</t>
  </si>
  <si>
    <t>BCA Guidelines</t>
  </si>
  <si>
    <t>Construction Start Year</t>
  </si>
  <si>
    <t>ODOT Provided</t>
  </si>
  <si>
    <t>Construction Duration</t>
  </si>
  <si>
    <t>Years</t>
  </si>
  <si>
    <t>Construction Completion</t>
  </si>
  <si>
    <t>First Year of Benefit</t>
  </si>
  <si>
    <t>Year of estimate for Capital Costs</t>
  </si>
  <si>
    <t>Year of estimate for Maintenance Costs</t>
  </si>
  <si>
    <t>Year of estimate for UT Costs</t>
  </si>
  <si>
    <t>Year of estimate for RW Costs</t>
  </si>
  <si>
    <t>Year of estimate for Design Costs</t>
  </si>
  <si>
    <t>Length of Analysis Utilized</t>
  </si>
  <si>
    <t>Length of Analysis - Baseline</t>
  </si>
  <si>
    <t>Length of Analysis - Sensitivity</t>
  </si>
  <si>
    <t>Analysis Period beyond BCA Guidelines</t>
  </si>
  <si>
    <t>End of Analysis</t>
  </si>
  <si>
    <t>Known Factors</t>
  </si>
  <si>
    <t>No Discount Factor</t>
  </si>
  <si>
    <t>%</t>
  </si>
  <si>
    <t>2% Discount Factor</t>
  </si>
  <si>
    <t>3.1% Discount Factor</t>
  </si>
  <si>
    <t>Annual Conversion</t>
  </si>
  <si>
    <t>days/year</t>
  </si>
  <si>
    <t>Known conversion</t>
  </si>
  <si>
    <t>Conversion from kg to metric tons</t>
  </si>
  <si>
    <t>kg/metric ton</t>
  </si>
  <si>
    <t>Project Attributes</t>
  </si>
  <si>
    <t>Construction Cost</t>
  </si>
  <si>
    <t>$</t>
  </si>
  <si>
    <t>Construction Cost - Sensitivity</t>
  </si>
  <si>
    <t>% Increase to value in row above</t>
  </si>
  <si>
    <t>Project Bridge Cost (for Residual Life calculation)</t>
  </si>
  <si>
    <t>Bridge Costs Provided from ODOT</t>
  </si>
  <si>
    <t>Useful Life</t>
  </si>
  <si>
    <t>Design life provided by ODOT</t>
  </si>
  <si>
    <t>Existing Asset Useful Value</t>
  </si>
  <si>
    <t>Proposed Sidewalk Width</t>
  </si>
  <si>
    <t>feet</t>
  </si>
  <si>
    <t>Based on project 60% design plans</t>
  </si>
  <si>
    <t>Number of Marked-Crosswalks</t>
  </si>
  <si>
    <t>each</t>
  </si>
  <si>
    <t>Number of Signals for Pedestrian Crossing</t>
  </si>
  <si>
    <t>Sidewalk length</t>
  </si>
  <si>
    <t>miles</t>
  </si>
  <si>
    <t xml:space="preserve">Traffic </t>
  </si>
  <si>
    <t>Portion of Heavy Vehicles</t>
  </si>
  <si>
    <t>ODOT Provided Input</t>
  </si>
  <si>
    <t>Override Traffic Forecast with new Linear Growth Rate (1=yes, 0=no)</t>
  </si>
  <si>
    <t>flag</t>
  </si>
  <si>
    <t xml:space="preserve">Override Linear Growth Rate </t>
  </si>
  <si>
    <t>% annual</t>
  </si>
  <si>
    <t>East of US 75</t>
  </si>
  <si>
    <t>Traffic Analysis Base Year</t>
  </si>
  <si>
    <t>Traffic Analysis Base Year ADT</t>
  </si>
  <si>
    <t>ADT</t>
  </si>
  <si>
    <t>Traffic Analysis Future Year</t>
  </si>
  <si>
    <t>Traffic Analysis Future Year ADT</t>
  </si>
  <si>
    <t>West of US 75</t>
  </si>
  <si>
    <t>Safety</t>
  </si>
  <si>
    <t>Incidents/year</t>
  </si>
  <si>
    <t>ODOT Data</t>
  </si>
  <si>
    <t>Base Year</t>
  </si>
  <si>
    <t>year</t>
  </si>
  <si>
    <t>Non-incapacitating injuries or possible injury</t>
  </si>
  <si>
    <t>$/incident</t>
  </si>
  <si>
    <t>BCA Guidelines Table A-1</t>
  </si>
  <si>
    <t>PDO</t>
  </si>
  <si>
    <t>BCA Guidelines Table A-2</t>
  </si>
  <si>
    <t xml:space="preserve">Crash Modification Factor </t>
  </si>
  <si>
    <t>factor</t>
  </si>
  <si>
    <t>Federal Highway Administration DDI Informational Guide 2nd Edition (NCHRP Report 959)</t>
  </si>
  <si>
    <t>Crash Modification Factor  - Sensitivity</t>
  </si>
  <si>
    <t>Time Savings</t>
  </si>
  <si>
    <t>Current ped path length</t>
  </si>
  <si>
    <t>Existing</t>
  </si>
  <si>
    <t>Proposed ped path length</t>
  </si>
  <si>
    <t>Pedestrian Speed</t>
  </si>
  <si>
    <t>miles per hour</t>
  </si>
  <si>
    <t>BCA Guidelines Table A-8, note 1</t>
  </si>
  <si>
    <t>Value of Travel Time Savings</t>
  </si>
  <si>
    <t>Personal</t>
  </si>
  <si>
    <t>$/person/hr</t>
  </si>
  <si>
    <t>BCA Guidelines Table A-3</t>
  </si>
  <si>
    <t>Business</t>
  </si>
  <si>
    <t>All Purposes</t>
  </si>
  <si>
    <t>Walking, Cycling, Waiting, Standing, and Transfer Time</t>
  </si>
  <si>
    <t>Truck Drivers</t>
  </si>
  <si>
    <t>Bus Drivers</t>
  </si>
  <si>
    <t>Transit Rail Drivers</t>
  </si>
  <si>
    <t>Locomotive Engineers</t>
  </si>
  <si>
    <t>Average Vehicle Occupancy</t>
  </si>
  <si>
    <t>Passenger Vehicles Weekday Peak</t>
  </si>
  <si>
    <t>per/veh</t>
  </si>
  <si>
    <t>BCA Guidelines Table A-4</t>
  </si>
  <si>
    <t>Passenger Vehicles Weekday Off-Peak</t>
  </si>
  <si>
    <t>Passenger Vehicles Weekend</t>
  </si>
  <si>
    <t>Passenger Vehicles All Travel</t>
  </si>
  <si>
    <t>Heavy Vehicle Occupancy</t>
  </si>
  <si>
    <t>Assumed value</t>
  </si>
  <si>
    <t>Delay - No Build Case</t>
  </si>
  <si>
    <t>Base Year Delay</t>
  </si>
  <si>
    <t>Vehicle-hours per day</t>
  </si>
  <si>
    <t>SYNCHRO Results</t>
  </si>
  <si>
    <t>Future Year Delay</t>
  </si>
  <si>
    <t>Future Year Delay - Sensitivity</t>
  </si>
  <si>
    <t>Future Year</t>
  </si>
  <si>
    <t>Delay - Build Case (Alternative)</t>
  </si>
  <si>
    <t>Delay - Noon Hour</t>
  </si>
  <si>
    <t>Account for Noon Hour Delay?</t>
  </si>
  <si>
    <t>1 = Noon hour delay on, 0 = Noon hour delay off</t>
  </si>
  <si>
    <t>Noon Hour Factor (% of AM + PM peak delay)</t>
  </si>
  <si>
    <t>Emissions Produced</t>
  </si>
  <si>
    <t>CO2</t>
  </si>
  <si>
    <t>Emissions Base Year - No Build</t>
  </si>
  <si>
    <t>kg-per day</t>
  </si>
  <si>
    <t>Emissions Future Year - No Build</t>
  </si>
  <si>
    <t>NOx</t>
  </si>
  <si>
    <t>Emissions Base Year  - No Build</t>
  </si>
  <si>
    <t>Emissions Base Year  - Build</t>
  </si>
  <si>
    <t>Emissions Base Year - Build</t>
  </si>
  <si>
    <t>Emissions Future Year - Build</t>
  </si>
  <si>
    <t>Emissions Reductions Benefits</t>
  </si>
  <si>
    <t>NOX</t>
  </si>
  <si>
    <t>$/metric ton</t>
  </si>
  <si>
    <t>See table to right</t>
  </si>
  <si>
    <t>Transposed from BCA Guidelines Table A-6</t>
  </si>
  <si>
    <t>SOX</t>
  </si>
  <si>
    <t>PM2.5</t>
  </si>
  <si>
    <t>Vehicle Operating Costs</t>
  </si>
  <si>
    <t>Fuel Consumption Base Year - No Build</t>
  </si>
  <si>
    <t>gallons</t>
  </si>
  <si>
    <t>Fuel Consumption Future Year - No Build</t>
  </si>
  <si>
    <t>Fuel Consumption Base Year - Build</t>
  </si>
  <si>
    <t>Fuel Consumption Future Year - Build</t>
  </si>
  <si>
    <t>Pedestrian Facility Improvements</t>
  </si>
  <si>
    <t>Pedestrian Base Year</t>
  </si>
  <si>
    <t>INCOG Provided Data</t>
  </si>
  <si>
    <t>Pedestrian Base Year Count</t>
  </si>
  <si>
    <t>Ped/day</t>
  </si>
  <si>
    <t>Pedestrian Annual Growth Rate</t>
  </si>
  <si>
    <t>Census data City of Tulsa, OK. Calcs in tab "REF- Pedestrian"</t>
  </si>
  <si>
    <t>Expanded Sidewalk Value (per foot of added Width)</t>
  </si>
  <si>
    <t>$ / person-mile walked</t>
  </si>
  <si>
    <t>BCA Guidelines Table A-8</t>
  </si>
  <si>
    <t xml:space="preserve">Install Marked-Crosswalk on Roadway with Volumes ≥10,000 Vehicles per Day </t>
  </si>
  <si>
    <t>$ / each</t>
  </si>
  <si>
    <t>Install Signal for Pedestrian Crossing on Roadway with Volumes ≥13,000 Vehicles per Day</t>
  </si>
  <si>
    <t>Induced Pedestrian Demand through new ped facility (portion of vehicluar traffic)</t>
  </si>
  <si>
    <t>Using the Bicycle and Pedestrian Sketch Method (Griffin 2009) produces induced pedestrian trips at 2% of AADT. 1% used (rule of half) as a more conservative approach.</t>
  </si>
  <si>
    <t>Portion of Vehicular traffic induced ped demand - Sensitivity</t>
  </si>
  <si>
    <t>Induced Pedestrian Demand - Days per year (weather and other factors will deter peds)</t>
  </si>
  <si>
    <t>Days / year</t>
  </si>
  <si>
    <t>National Weather Service (estimate of growing season in Tulsa as proxy for warm weather days suitable for pedestrians, rounded down for simplicity)</t>
  </si>
  <si>
    <t>Induced Pedestrian Demand - Additional Days per year - Sensitivity</t>
  </si>
  <si>
    <t>Ramp Up of Ped Demand - Year 1</t>
  </si>
  <si>
    <t>0% = No induced ped demand for year, 100% = Full induced ped demand for year</t>
  </si>
  <si>
    <t>Ramp Up of Ped Demand - Year 2</t>
  </si>
  <si>
    <t>Ramp Up of Ped Demand - Year 3</t>
  </si>
  <si>
    <t>Induced Active Transporation Mode - Walking</t>
  </si>
  <si>
    <t>$ / trip</t>
  </si>
  <si>
    <t>BCA Guidelines Table A-13</t>
  </si>
  <si>
    <t xml:space="preserve">Induced Active Transporation Mode - Cycling </t>
  </si>
  <si>
    <t>Bridge Hits</t>
  </si>
  <si>
    <t>Number of Bridge Hits in District 8</t>
  </si>
  <si>
    <t>count</t>
  </si>
  <si>
    <t>ODOT provided input</t>
  </si>
  <si>
    <t>Perdiod of Bridge Hits Analyzed</t>
  </si>
  <si>
    <t>years</t>
  </si>
  <si>
    <t>Number of Low Clearance Bridge in District 8</t>
  </si>
  <si>
    <t>Probability of Bridge Hit</t>
  </si>
  <si>
    <t>incidents / Period</t>
  </si>
  <si>
    <t>incidents / year</t>
  </si>
  <si>
    <t>Bridge Replacement Cost</t>
  </si>
  <si>
    <t>Full bridge replacement related bridge hit not assumed realistic</t>
  </si>
  <si>
    <t>Average bridge damage per hit</t>
  </si>
  <si>
    <t>Total cost of bridge hit</t>
  </si>
  <si>
    <t>Project Costs</t>
  </si>
  <si>
    <t>Calendar Year</t>
  </si>
  <si>
    <t>Model Period</t>
  </si>
  <si>
    <t xml:space="preserve">Base Year </t>
  </si>
  <si>
    <t>Flag</t>
  </si>
  <si>
    <t>Years from Base Calendar Year</t>
  </si>
  <si>
    <t>Benefit Period Flag</t>
  </si>
  <si>
    <t>Analysis Period</t>
  </si>
  <si>
    <t>Benefit Year</t>
  </si>
  <si>
    <t>Description</t>
  </si>
  <si>
    <t>No Build Case (Baseline)</t>
  </si>
  <si>
    <t>Capital Costs</t>
  </si>
  <si>
    <t>Environmental</t>
  </si>
  <si>
    <t>Design</t>
  </si>
  <si>
    <t>ROW</t>
  </si>
  <si>
    <t>Utilities</t>
  </si>
  <si>
    <t>Subtotal</t>
  </si>
  <si>
    <t xml:space="preserve">Discounted </t>
  </si>
  <si>
    <t>Undiscounted</t>
  </si>
  <si>
    <t>Maintenance Costs</t>
  </si>
  <si>
    <t>Maintenance</t>
  </si>
  <si>
    <t>Build Case (Alternative)</t>
  </si>
  <si>
    <t>Cost (Alternative - Baseline)</t>
  </si>
  <si>
    <t>Total Costs</t>
  </si>
  <si>
    <t>Traffic Forecasts</t>
  </si>
  <si>
    <t>BCR</t>
  </si>
  <si>
    <t>No Build Traffic</t>
  </si>
  <si>
    <t>Vehicular Traffic East of US 75</t>
  </si>
  <si>
    <t>Compounded Annual Growth Rate (not used)</t>
  </si>
  <si>
    <t>Linear Growth Rate</t>
  </si>
  <si>
    <t>ADT / year</t>
  </si>
  <si>
    <t>Traffic Forecast Start Year</t>
  </si>
  <si>
    <t>Traffic Forcecast Start Year ADT</t>
  </si>
  <si>
    <t>Total Vehicular Traffic</t>
  </si>
  <si>
    <t>Passenger Vehicles</t>
  </si>
  <si>
    <t>Heavy Vehicles</t>
  </si>
  <si>
    <t>Vehicular Traffic West of US 75</t>
  </si>
  <si>
    <t>Pedestrian</t>
  </si>
  <si>
    <t>Base Year Pedestrians</t>
  </si>
  <si>
    <t>Annual Growth Rate</t>
  </si>
  <si>
    <t>Start Year</t>
  </si>
  <si>
    <t>Pedestrian Forecast</t>
  </si>
  <si>
    <t>Build Traffic</t>
  </si>
  <si>
    <t>Base Pedestrian Traffic</t>
  </si>
  <si>
    <t>Induced Ped Demand</t>
  </si>
  <si>
    <t>Portion of Vehicular Traffic Induced to Ped Mode</t>
  </si>
  <si>
    <t>Steady State Ped Demand</t>
  </si>
  <si>
    <t>Ramp Up Factor</t>
  </si>
  <si>
    <t>Induced Pedestrian Trips</t>
  </si>
  <si>
    <t>Increase through induced ped trips</t>
  </si>
  <si>
    <t>Total Pedestrian Traffic</t>
  </si>
  <si>
    <t>Traffic</t>
  </si>
  <si>
    <t>Accidents Calculation</t>
  </si>
  <si>
    <t>Accidents Rate</t>
  </si>
  <si>
    <t>Total Crashes</t>
  </si>
  <si>
    <t>% Incidents/ADT</t>
  </si>
  <si>
    <t>Cost Per Incident</t>
  </si>
  <si>
    <t>Accidents Projection</t>
  </si>
  <si>
    <t>Incident</t>
  </si>
  <si>
    <t>Total Crashes in Analysis Period</t>
  </si>
  <si>
    <t>Accidents Cost</t>
  </si>
  <si>
    <t>CMF</t>
  </si>
  <si>
    <t>Benefit (Alternative - Baseline)</t>
  </si>
  <si>
    <t>Total Benefit</t>
  </si>
  <si>
    <t>Travel Time Savings Benefits</t>
  </si>
  <si>
    <t>Vehicular Traffic</t>
  </si>
  <si>
    <t>Delay Calculations</t>
  </si>
  <si>
    <t>Average Annual Increase</t>
  </si>
  <si>
    <t>Annual Increase Flag</t>
  </si>
  <si>
    <t>Delay</t>
  </si>
  <si>
    <t>Value of Time</t>
  </si>
  <si>
    <t xml:space="preserve">Value of All Purposes </t>
  </si>
  <si>
    <t>Vehicle Occupancy</t>
  </si>
  <si>
    <t>Portion of Passenger Vehicles</t>
  </si>
  <si>
    <t>Cost of Delay</t>
  </si>
  <si>
    <t>$/Day</t>
  </si>
  <si>
    <t>$/year</t>
  </si>
  <si>
    <t>Current Path</t>
  </si>
  <si>
    <t>Walking Speed</t>
  </si>
  <si>
    <t>Trip Duration</t>
  </si>
  <si>
    <t>hour</t>
  </si>
  <si>
    <t>Pedestrian Travel Time</t>
  </si>
  <si>
    <t>Ped hours / day</t>
  </si>
  <si>
    <t>Pedestrian cost of trip</t>
  </si>
  <si>
    <t>$/day</t>
  </si>
  <si>
    <t xml:space="preserve">Total </t>
  </si>
  <si>
    <t>Total Cost</t>
  </si>
  <si>
    <t>New Path</t>
  </si>
  <si>
    <t>Emissions Benefits</t>
  </si>
  <si>
    <t>Total Emissions</t>
  </si>
  <si>
    <t>Convert to tons</t>
  </si>
  <si>
    <t>kg/ton</t>
  </si>
  <si>
    <t>Annualization Factor</t>
  </si>
  <si>
    <t>day/year</t>
  </si>
  <si>
    <t>ton-per year</t>
  </si>
  <si>
    <t>Cost of Emissions</t>
  </si>
  <si>
    <t>Monetized Value per Metric Ton</t>
  </si>
  <si>
    <t>$ per year</t>
  </si>
  <si>
    <t>NOTE: 3.1% Discount in row above calculates CO2 at 2% discount.</t>
  </si>
  <si>
    <t>Vehicle Operating Costs Benefits</t>
  </si>
  <si>
    <t>Fuel Consumed</t>
  </si>
  <si>
    <t>Fuel Consumption Calculation</t>
  </si>
  <si>
    <t xml:space="preserve">Fuel Consumption Base Year </t>
  </si>
  <si>
    <t xml:space="preserve">Fuel Consumption Future Year </t>
  </si>
  <si>
    <t>gallons-per day</t>
  </si>
  <si>
    <t>Total Fuel Consumption</t>
  </si>
  <si>
    <t>Gallons per year</t>
  </si>
  <si>
    <t>Gasonline / Diesel Split</t>
  </si>
  <si>
    <t>Gasoline Consumption</t>
  </si>
  <si>
    <t>Diesel Consumption</t>
  </si>
  <si>
    <t>Cost of Fuel Consumption</t>
  </si>
  <si>
    <t>Gasoline Value per Metric Ton</t>
  </si>
  <si>
    <t>$ / gallon</t>
  </si>
  <si>
    <t>Diesel Value per Metric Ton</t>
  </si>
  <si>
    <t>Cost of Gasoline Consumption</t>
  </si>
  <si>
    <t>Cost of Diesel Consumption</t>
  </si>
  <si>
    <t>Pedestrian / Cycling Improvments Benefits</t>
  </si>
  <si>
    <t>No sidewalk existing</t>
  </si>
  <si>
    <t>No crosswalk existing</t>
  </si>
  <si>
    <t>No pedestrian signals existing</t>
  </si>
  <si>
    <t>New Sidewalk</t>
  </si>
  <si>
    <t>Pedestrian Travel Distance</t>
  </si>
  <si>
    <t>Ped miles / day</t>
  </si>
  <si>
    <t>Expanded Sidewalk</t>
  </si>
  <si>
    <t>Expanded Sidewalk Value</t>
  </si>
  <si>
    <t>Benefit of expanded sidewalk</t>
  </si>
  <si>
    <t>Additional Crosswalks</t>
  </si>
  <si>
    <t>New Crosswalks</t>
  </si>
  <si>
    <t>$ / use</t>
  </si>
  <si>
    <t>Additional Pedestrian Signals</t>
  </si>
  <si>
    <t>New Ped Signals</t>
  </si>
  <si>
    <t>Induced Pedestrian Demand Benefits</t>
  </si>
  <si>
    <t>Induced Active Transportation Mode</t>
  </si>
  <si>
    <t>$/ trip</t>
  </si>
  <si>
    <t>Benefit of induced Active Transportation Mode</t>
  </si>
  <si>
    <t xml:space="preserve">Days per year of induced pedestrian travel </t>
  </si>
  <si>
    <t>Bridge Hits Benefits</t>
  </si>
  <si>
    <t>Cost of Bridge Hit</t>
  </si>
  <si>
    <t>Average damage per bridge hit</t>
  </si>
  <si>
    <t>$ / year</t>
  </si>
  <si>
    <t>Residual Value Benefits</t>
  </si>
  <si>
    <t>Bridge Cost</t>
  </si>
  <si>
    <t xml:space="preserve">Residual Value </t>
  </si>
  <si>
    <t>Benefit (Baseline - Alternative)</t>
  </si>
  <si>
    <t>Baseline</t>
  </si>
  <si>
    <t>Alternative</t>
  </si>
  <si>
    <t>Table 1: Summary of Benefits</t>
  </si>
  <si>
    <t>Baseline Status and Problems to be Addressed</t>
  </si>
  <si>
    <t>Change to Baseline</t>
  </si>
  <si>
    <t>Types of Impacts &amp; Benefits</t>
  </si>
  <si>
    <t xml:space="preserve">Population Affected by Impacts </t>
  </si>
  <si>
    <t>Benefit Value (2021 $ millions, 7% discount)</t>
  </si>
  <si>
    <t>The US-75 corridor is included in the top 5% of freight bottlenecks in the Tulsa area and is listed as a critical freight corridor in ODOT's State Freight Plan. 
A specific challenge associated with the interchange is to adequately accommodate existing future and travel demand. The current interchange movements are operating at a Level of Service D and AM and PM peak hours are showing a total network delay of 47 and 44 vehicle hours of delay, respectively. Additionally, there are no multimodal accommodations across US-75.</t>
  </si>
  <si>
    <t>The Oklahoma Department of Transportation (ODOT) and City of Tulsa (COT) propose to reconstruct the existing US-75/W. 81st Street interchange as a diverging diamond interchange (DDI), provide additional capacity on W. 81 Street, and provide new pedestrian and bicycle facilities across US-75. This innovative design will improve safety and traffic flow and provide a connection for non-vehicular traffic where none exists today.</t>
  </si>
  <si>
    <r>
      <rPr>
        <b/>
        <i/>
        <sz val="11"/>
        <color theme="1"/>
        <rFont val="Times New Roman"/>
        <family val="1"/>
      </rPr>
      <t>Impact</t>
    </r>
    <r>
      <rPr>
        <sz val="11"/>
        <color theme="1"/>
        <rFont val="Times New Roman"/>
        <family val="1"/>
      </rPr>
      <t xml:space="preserve"> - New diverging diamond interchange
</t>
    </r>
    <r>
      <rPr>
        <b/>
        <i/>
        <sz val="11"/>
        <color theme="1"/>
        <rFont val="Times New Roman"/>
        <family val="1"/>
      </rPr>
      <t>Benefit</t>
    </r>
    <r>
      <rPr>
        <sz val="11"/>
        <color theme="1"/>
        <rFont val="Times New Roman"/>
        <family val="1"/>
      </rPr>
      <t xml:space="preserve"> - Improved vehicle safety </t>
    </r>
  </si>
  <si>
    <t xml:space="preserve">Vehicle Owners and Truck Operators </t>
  </si>
  <si>
    <r>
      <rPr>
        <b/>
        <i/>
        <sz val="11"/>
        <color theme="1"/>
        <rFont val="Times New Roman"/>
        <family val="1"/>
      </rPr>
      <t>Impac</t>
    </r>
    <r>
      <rPr>
        <sz val="11"/>
        <color theme="1"/>
        <rFont val="Times New Roman"/>
        <family val="1"/>
      </rPr>
      <t xml:space="preserve">t - Reduced vehicular delays at interchange and reduced distances for pedestrian routes
</t>
    </r>
    <r>
      <rPr>
        <b/>
        <i/>
        <sz val="11"/>
        <color theme="1"/>
        <rFont val="Times New Roman"/>
        <family val="1"/>
      </rPr>
      <t>Benefit</t>
    </r>
    <r>
      <rPr>
        <sz val="11"/>
        <color theme="1"/>
        <rFont val="Times New Roman"/>
        <family val="1"/>
      </rPr>
      <t xml:space="preserve"> - Reduction in travel times </t>
    </r>
  </si>
  <si>
    <t>Vehicle Owners, Truck Operators, and Pedestrians</t>
  </si>
  <si>
    <r>
      <rPr>
        <b/>
        <i/>
        <sz val="11"/>
        <color theme="1"/>
        <rFont val="Times New Roman"/>
        <family val="1"/>
      </rPr>
      <t>Impact</t>
    </r>
    <r>
      <rPr>
        <sz val="11"/>
        <color theme="1"/>
        <rFont val="Times New Roman"/>
        <family val="1"/>
      </rPr>
      <t xml:space="preserve"> - Shorter delays at interchange
</t>
    </r>
    <r>
      <rPr>
        <b/>
        <i/>
        <sz val="11"/>
        <color theme="1"/>
        <rFont val="Times New Roman"/>
        <family val="1"/>
      </rPr>
      <t>Benefit</t>
    </r>
    <r>
      <rPr>
        <sz val="11"/>
        <color theme="1"/>
        <rFont val="Times New Roman"/>
        <family val="1"/>
      </rPr>
      <t xml:space="preserve"> - Reduced vehicle operating costs (fuel reduction) </t>
    </r>
  </si>
  <si>
    <r>
      <rPr>
        <b/>
        <i/>
        <sz val="11"/>
        <color theme="1"/>
        <rFont val="Times New Roman"/>
        <family val="1"/>
      </rPr>
      <t>Impact</t>
    </r>
    <r>
      <rPr>
        <sz val="11"/>
        <color theme="1"/>
        <rFont val="Times New Roman"/>
        <family val="1"/>
      </rPr>
      <t xml:space="preserve"> - Reduced time spent idling during intersection delays
</t>
    </r>
    <r>
      <rPr>
        <b/>
        <i/>
        <sz val="11"/>
        <color theme="1"/>
        <rFont val="Times New Roman"/>
        <family val="1"/>
      </rPr>
      <t>Benefit</t>
    </r>
    <r>
      <rPr>
        <sz val="11"/>
        <color theme="1"/>
        <rFont val="Times New Roman"/>
        <family val="1"/>
      </rPr>
      <t xml:space="preserve"> - Emissions reduction </t>
    </r>
  </si>
  <si>
    <t xml:space="preserve">Vehicle Owners, Truck Operators, and Residents of adjacent communities </t>
  </si>
  <si>
    <r>
      <rPr>
        <b/>
        <i/>
        <sz val="11"/>
        <color theme="1"/>
        <rFont val="Times New Roman"/>
        <family val="1"/>
      </rPr>
      <t>Impact</t>
    </r>
    <r>
      <rPr>
        <sz val="11"/>
        <color theme="1"/>
        <rFont val="Times New Roman"/>
        <family val="1"/>
      </rPr>
      <t xml:space="preserve"> - New sidewalks providing reduced walking distances and walk/cycling times
</t>
    </r>
    <r>
      <rPr>
        <b/>
        <i/>
        <sz val="11"/>
        <color theme="1"/>
        <rFont val="Times New Roman"/>
        <family val="1"/>
      </rPr>
      <t>Benefit</t>
    </r>
    <r>
      <rPr>
        <sz val="11"/>
        <color theme="1"/>
        <rFont val="Times New Roman"/>
        <family val="1"/>
      </rPr>
      <t xml:space="preserve"> - Pedestrians and cyclist improvements </t>
    </r>
  </si>
  <si>
    <t xml:space="preserve">Residents of adjacent communities </t>
  </si>
  <si>
    <r>
      <rPr>
        <b/>
        <i/>
        <sz val="11"/>
        <color theme="1"/>
        <rFont val="Times New Roman"/>
        <family val="1"/>
      </rPr>
      <t>Impact</t>
    </r>
    <r>
      <rPr>
        <sz val="11"/>
        <color theme="1"/>
        <rFont val="Times New Roman"/>
        <family val="1"/>
      </rPr>
      <t xml:space="preserve"> - New bridges at proposed interchange
</t>
    </r>
    <r>
      <rPr>
        <b/>
        <i/>
        <sz val="11"/>
        <color theme="1"/>
        <rFont val="Times New Roman"/>
        <family val="1"/>
      </rPr>
      <t>Benefit</t>
    </r>
    <r>
      <rPr>
        <sz val="11"/>
        <color theme="1"/>
        <rFont val="Times New Roman"/>
        <family val="1"/>
      </rPr>
      <t xml:space="preserve"> - Reduced bridge hits and reduced maintenance costs over the life of the project. </t>
    </r>
  </si>
  <si>
    <t>Vehicle Owners, Truck Operators, and ODOT</t>
  </si>
  <si>
    <r>
      <rPr>
        <b/>
        <i/>
        <sz val="11"/>
        <color theme="1"/>
        <rFont val="Times New Roman"/>
        <family val="1"/>
      </rPr>
      <t>Impact</t>
    </r>
    <r>
      <rPr>
        <sz val="11"/>
        <color theme="1"/>
        <rFont val="Times New Roman"/>
        <family val="1"/>
      </rPr>
      <t xml:space="preserve"> - New bridges at proposed interchange
</t>
    </r>
    <r>
      <rPr>
        <b/>
        <i/>
        <sz val="11"/>
        <color theme="1"/>
        <rFont val="Times New Roman"/>
        <family val="1"/>
      </rPr>
      <t>Benefit</t>
    </r>
    <r>
      <rPr>
        <sz val="11"/>
        <color theme="1"/>
        <rFont val="Times New Roman"/>
        <family val="1"/>
      </rPr>
      <t xml:space="preserve"> - Estended residual life of bridges at proposed interchange</t>
    </r>
  </si>
  <si>
    <t>ODOT</t>
  </si>
  <si>
    <t>Current</t>
  </si>
  <si>
    <t>Summary of BCA Outcomes, Millions of Dollars in 2021</t>
  </si>
  <si>
    <t>Safety Assumptions</t>
  </si>
  <si>
    <t>Base Case</t>
  </si>
  <si>
    <t>Project Evaluation Metric</t>
  </si>
  <si>
    <t>Present Value at 3% Discount Rate</t>
  </si>
  <si>
    <t>Present Value at 7% Discount Rate</t>
  </si>
  <si>
    <t>Synchro Analysis:
Total Vehicle-Hours per Day</t>
  </si>
  <si>
    <t>Pedestrian Counts</t>
  </si>
  <si>
    <t>Source</t>
  </si>
  <si>
    <t>Parameters</t>
  </si>
  <si>
    <t>Change in Parameter Value</t>
  </si>
  <si>
    <t>New NPV</t>
  </si>
  <si>
    <t>% Change in NPV</t>
  </si>
  <si>
    <t>New B/C Ratio</t>
  </si>
  <si>
    <t>Total Benefits</t>
  </si>
  <si>
    <t>Year of Count</t>
  </si>
  <si>
    <t xml:space="preserve">ODOT Data </t>
  </si>
  <si>
    <t>Vehicle Delay</t>
  </si>
  <si>
    <t>20% Reduction</t>
  </si>
  <si>
    <t>Total O&amp;M (Cost) / Savings</t>
  </si>
  <si>
    <t>Average Ped/day</t>
  </si>
  <si>
    <t>20% Increase</t>
  </si>
  <si>
    <t>Total Capital (Cost) / Savings</t>
  </si>
  <si>
    <t xml:space="preserve">Proposed </t>
  </si>
  <si>
    <t>Pedestrian Growth Rate</t>
  </si>
  <si>
    <t>Benefit</t>
  </si>
  <si>
    <t xml:space="preserve">Benefit / Cost Ratio </t>
  </si>
  <si>
    <t>Split of Travel Time Savings</t>
  </si>
  <si>
    <t>30 Year Analysis Period</t>
  </si>
  <si>
    <t>Ped</t>
  </si>
  <si>
    <t>Summary of Project Costs, Millions of Dollars in 2021</t>
  </si>
  <si>
    <t>Veh</t>
  </si>
  <si>
    <t>Cost Category</t>
  </si>
  <si>
    <t>Maintenance (negative is savings)</t>
  </si>
  <si>
    <t>Summary of Benefits, Millions of Dollars in 2021</t>
  </si>
  <si>
    <t>Source / Comment</t>
  </si>
  <si>
    <t>SYNCHRO FUEL CONSUMPTION DATA</t>
  </si>
  <si>
    <t xml:space="preserve">Synchro Analysis: Fuel Consumption (gal.) </t>
  </si>
  <si>
    <t>AM</t>
  </si>
  <si>
    <t>PM</t>
  </si>
  <si>
    <t xml:space="preserve">AM </t>
  </si>
  <si>
    <t>Pedstrian Ammenities</t>
  </si>
  <si>
    <t>SYNCHRO EMISSIONS DATA</t>
  </si>
  <si>
    <t>Emissions (kg)</t>
  </si>
  <si>
    <t>Exisiting</t>
  </si>
  <si>
    <r>
      <t>CO</t>
    </r>
    <r>
      <rPr>
        <vertAlign val="subscript"/>
        <sz val="11"/>
        <color theme="1"/>
        <rFont val="Times New Roman"/>
        <family val="1"/>
      </rPr>
      <t>2</t>
    </r>
  </si>
  <si>
    <r>
      <t>NO</t>
    </r>
    <r>
      <rPr>
        <vertAlign val="subscript"/>
        <sz val="11"/>
        <color theme="1"/>
        <rFont val="Times New Roman"/>
        <family val="1"/>
      </rPr>
      <t>X</t>
    </r>
  </si>
  <si>
    <t>VOC</t>
  </si>
  <si>
    <t>Travel Time Savings - Pedestrian</t>
  </si>
  <si>
    <t>Value of time for pedestrian travel</t>
  </si>
  <si>
    <t>Travel Time Savings - Vehicles</t>
  </si>
  <si>
    <t>Parameter Values</t>
  </si>
  <si>
    <t>This sheet provides a copy of parameter and monetization values from Appendix A of the USDOT BCA Guidance, and is provided for convenience.</t>
  </si>
  <si>
    <t>Source: USDOT BCA Guidance (Appendix A)</t>
  </si>
  <si>
    <t>-</t>
  </si>
  <si>
    <t>Table A-1a: Value of Reduced Fatalities, Injuries, and Crashes</t>
  </si>
  <si>
    <t>KABCO Level</t>
  </si>
  <si>
    <t>Monetized Value (2023 $)</t>
  </si>
  <si>
    <t>O - No Injury</t>
  </si>
  <si>
    <t>C - Possible Injury</t>
  </si>
  <si>
    <t>B - Non-incapacitating</t>
  </si>
  <si>
    <t>A - Incapacitating</t>
  </si>
  <si>
    <t>K - Killed</t>
  </si>
  <si>
    <t>U - Injured (Severity Unknown)</t>
  </si>
  <si>
    <t>Table A-1b: Value of Reduced Fatal, Injury, and PDO Crashes</t>
  </si>
  <si>
    <t>Crash Type</t>
  </si>
  <si>
    <t>PDO Crash</t>
  </si>
  <si>
    <t>Injury Crash</t>
  </si>
  <si>
    <t>Fatal Crash</t>
  </si>
  <si>
    <t>Table A-2: Value of Travel Time Savings</t>
  </si>
  <si>
    <t>Recommended Hourly Values of Travel Time Savings</t>
  </si>
  <si>
    <t>(2023 $ per person-hour)</t>
  </si>
  <si>
    <t>Hourly Value</t>
  </si>
  <si>
    <t>General Travel Time</t>
  </si>
  <si>
    <r>
      <t>Personal</t>
    </r>
    <r>
      <rPr>
        <vertAlign val="superscript"/>
        <sz val="11"/>
        <color rgb="FF1F497D"/>
        <rFont val="Times New Roman"/>
        <family val="1"/>
      </rPr>
      <t>1</t>
    </r>
  </si>
  <si>
    <r>
      <t>Business</t>
    </r>
    <r>
      <rPr>
        <vertAlign val="superscript"/>
        <sz val="11"/>
        <color rgb="FF1F497D"/>
        <rFont val="Times New Roman"/>
        <family val="1"/>
      </rPr>
      <t>2</t>
    </r>
  </si>
  <si>
    <r>
      <t>All Purpose</t>
    </r>
    <r>
      <rPr>
        <vertAlign val="superscript"/>
        <sz val="11"/>
        <color rgb="FF1F497D"/>
        <rFont val="Times New Roman"/>
        <family val="1"/>
      </rPr>
      <t>3</t>
    </r>
  </si>
  <si>
    <r>
      <t>Walking, Cycling, Waiting, Standing, and Transfer Time</t>
    </r>
    <r>
      <rPr>
        <vertAlign val="superscript"/>
        <sz val="11"/>
        <color rgb="FF1F497D"/>
        <rFont val="Times New Roman"/>
        <family val="1"/>
      </rPr>
      <t>4</t>
    </r>
  </si>
  <si>
    <r>
      <t>Commercial Vehicle Operators</t>
    </r>
    <r>
      <rPr>
        <vertAlign val="superscript"/>
        <sz val="11"/>
        <color rgb="FF1F497D"/>
        <rFont val="Times New Roman"/>
        <family val="1"/>
      </rPr>
      <t>5</t>
    </r>
  </si>
  <si>
    <t>Transit Rail Operators</t>
  </si>
  <si>
    <t>1)  Values for personal travel based on local travel values as described in USDOT’s Value of Travel Time guidance. Where applicants also have specific information on the mix of local versus long-distance travel (i.e., trips over 50 miles in length) on a facility, then the local travel values of time may be blended with the long-distance personal travel value of $25.10 per hour.</t>
  </si>
  <si>
    <t>2)  Weighted average based on a typical distribution of local travel by surface modes (88.2% personal, 11.8% business). Applicants should apply their own distribution of business versus personal travel where such information is available.</t>
  </si>
  <si>
    <t>3)  Note that business travel does not include commuting travel, which should be valued at the personal travel rate. Travel on high-speed rail service that would be competitive with air travel should be valued at $47.70 per hour for personal travel and $80.20 for business travel.</t>
  </si>
  <si>
    <t>4)  Should be applied only when actions affect those elements of travel time.</t>
  </si>
  <si>
    <t>5)  Includes only the value of time for the operator, not passengers or freight.</t>
  </si>
  <si>
    <t>Table A-3: Average Vehicle Occupancy Rates for Highway Passenger Vehicles</t>
  </si>
  <si>
    <t>Vehicle Type</t>
  </si>
  <si>
    <t>Average Occupancy</t>
  </si>
  <si>
    <r>
      <t>Passenger Vehicles (Weekday Peak)</t>
    </r>
    <r>
      <rPr>
        <vertAlign val="superscript"/>
        <sz val="11"/>
        <color rgb="FF1F497D"/>
        <rFont val="Times New Roman"/>
        <family val="1"/>
      </rPr>
      <t>1</t>
    </r>
  </si>
  <si>
    <t>Passenger Vehicles (Weekday Off-Peak)</t>
  </si>
  <si>
    <t>Passenger Vehicles (Weekend)</t>
  </si>
  <si>
    <t>Passenger Vehicles (All Travel)</t>
  </si>
  <si>
    <t>1) Weekday peak period values calculated for trips starting between 6:00 AM-8:59 AM and 4:00 PM-6:59 PM.</t>
  </si>
  <si>
    <t>Table A-4: Vehicle Operating Costs</t>
  </si>
  <si>
    <t>Recommended Value per Mile (2023 $)</t>
  </si>
  <si>
    <r>
      <t>Light Duty Vehicles</t>
    </r>
    <r>
      <rPr>
        <vertAlign val="superscript"/>
        <sz val="11"/>
        <color theme="1"/>
        <rFont val="Times New Roman"/>
        <family val="1"/>
      </rPr>
      <t>1</t>
    </r>
  </si>
  <si>
    <r>
      <t>Commercial Trucks</t>
    </r>
    <r>
      <rPr>
        <vertAlign val="superscript"/>
        <sz val="11"/>
        <color theme="1"/>
        <rFont val="Times New Roman"/>
        <family val="1"/>
      </rPr>
      <t>2</t>
    </r>
  </si>
  <si>
    <t>1)  Based on an average light duty vehicle and includes operating costs such as gasoline, maintenance, tires, and depreciation (assuming an average of 15,000 miles driven per year). The value omits other ownership costs that are mostly fixed or transfers (insurance, license, registration, taxes, and financing charges).</t>
  </si>
  <si>
    <t>2)  Value includes fuel costs, truck/trailer lease or purchase payments, repair and maintenance, truck insurance premiums, permits and licenses, and tires. The value omits tolls (which are transfers), and driver wages and benefits (which are already included in the value of travel time savings).</t>
  </si>
  <si>
    <t>Table A-5: Train Operating and Social Costs</t>
  </si>
  <si>
    <t>Recommended Value per Hour (2023 $)</t>
  </si>
  <si>
    <t>Train and Movement Type</t>
  </si>
  <si>
    <r>
      <t>Operating Costs</t>
    </r>
    <r>
      <rPr>
        <vertAlign val="superscript"/>
        <sz val="11"/>
        <color theme="0"/>
        <rFont val="Times New Roman"/>
        <family val="1"/>
      </rPr>
      <t>1</t>
    </r>
  </si>
  <si>
    <r>
      <t>Non-CO</t>
    </r>
    <r>
      <rPr>
        <vertAlign val="subscript"/>
        <sz val="11"/>
        <color theme="0"/>
        <rFont val="Times New Roman"/>
        <family val="1"/>
      </rPr>
      <t>2</t>
    </r>
    <r>
      <rPr>
        <sz val="11"/>
        <color theme="0"/>
        <rFont val="Times New Roman"/>
        <family val="1"/>
      </rPr>
      <t xml:space="preserve"> Emission Costs</t>
    </r>
    <r>
      <rPr>
        <vertAlign val="superscript"/>
        <sz val="11"/>
        <color theme="0"/>
        <rFont val="Times New Roman"/>
        <family val="1"/>
      </rPr>
      <t>2</t>
    </r>
  </si>
  <si>
    <r>
      <t>CO</t>
    </r>
    <r>
      <rPr>
        <vertAlign val="subscript"/>
        <sz val="11"/>
        <color theme="0"/>
        <rFont val="Times New Roman"/>
        <family val="1"/>
      </rPr>
      <t>2</t>
    </r>
    <r>
      <rPr>
        <sz val="11"/>
        <color theme="0"/>
        <rFont val="Times New Roman"/>
        <family val="1"/>
      </rPr>
      <t xml:space="preserve"> Costs</t>
    </r>
    <r>
      <rPr>
        <vertAlign val="superscript"/>
        <sz val="11"/>
        <color theme="0"/>
        <rFont val="Times New Roman"/>
        <family val="1"/>
      </rPr>
      <t>2</t>
    </r>
  </si>
  <si>
    <t>Idling</t>
  </si>
  <si>
    <t>Freight Train</t>
  </si>
  <si>
    <t>Commuter Train</t>
  </si>
  <si>
    <t>Amtrak Long-Distance</t>
  </si>
  <si>
    <t>Amtrak State-Supported</t>
  </si>
  <si>
    <t>Hauling</t>
  </si>
  <si>
    <t>All Movements</t>
  </si>
  <si>
    <t>Freight Railcar</t>
  </si>
  <si>
    <t>*</t>
  </si>
  <si>
    <t>1)  Includes fuel cost, depreciation, and labor cost .</t>
  </si>
  <si>
    <t>2)  Emissions are based on the current diesel-electric locomotive fleet average, and thus the emission values above should not be applied in cases where new locomotives are being acquired or in cases of electrified rail. The monetization applies the 2035-year emission value to approximate increasing emission damage costs over time. Non-CO2 emission costs should be discounted at 3.1 percent and CO2 emission costs should be discounted at 2.0 percent.</t>
  </si>
  <si>
    <t>Table A-6: Damage Costs for Emissions per Metric Ton*</t>
  </si>
  <si>
    <t>Emission Type</t>
  </si>
  <si>
    <r>
      <t>NO</t>
    </r>
    <r>
      <rPr>
        <vertAlign val="subscript"/>
        <sz val="11"/>
        <color theme="0"/>
        <rFont val="Times New Roman"/>
        <family val="1"/>
      </rPr>
      <t>X</t>
    </r>
  </si>
  <si>
    <r>
      <t>SO</t>
    </r>
    <r>
      <rPr>
        <vertAlign val="subscript"/>
        <sz val="11"/>
        <color theme="0"/>
        <rFont val="Times New Roman"/>
        <family val="1"/>
      </rPr>
      <t>X</t>
    </r>
  </si>
  <si>
    <r>
      <t>PM</t>
    </r>
    <r>
      <rPr>
        <vertAlign val="subscript"/>
        <sz val="11"/>
        <color theme="0"/>
        <rFont val="Times New Roman"/>
        <family val="1"/>
      </rPr>
      <t>2.5</t>
    </r>
    <r>
      <rPr>
        <sz val="11"/>
        <color theme="0"/>
        <rFont val="Times New Roman"/>
        <family val="1"/>
      </rPr>
      <t>**</t>
    </r>
  </si>
  <si>
    <r>
      <t>CO</t>
    </r>
    <r>
      <rPr>
        <vertAlign val="subscript"/>
        <sz val="11"/>
        <color theme="0"/>
        <rFont val="Times New Roman"/>
        <family val="1"/>
      </rPr>
      <t>2</t>
    </r>
  </si>
  <si>
    <t>*Applicants should carefully note whether their emissions data is reported in short tons or metric tons. A metric ton is equal to 1.1023 short tons.</t>
  </si>
  <si>
    <r>
      <t>**Applicants should be careful to not apply the PM</t>
    </r>
    <r>
      <rPr>
        <vertAlign val="subscript"/>
        <sz val="11"/>
        <color rgb="FF1F497D"/>
        <rFont val="Times New Roman"/>
        <family val="1"/>
      </rPr>
      <t>2.5</t>
    </r>
    <r>
      <rPr>
        <sz val="11"/>
        <color rgb="FF1F497D"/>
        <rFont val="Times New Roman"/>
        <family val="1"/>
      </rPr>
      <t xml:space="preserve"> value to estimates of total emissions of PM</t>
    </r>
    <r>
      <rPr>
        <vertAlign val="subscript"/>
        <sz val="11"/>
        <color rgb="FF1F497D"/>
        <rFont val="Times New Roman"/>
        <family val="1"/>
      </rPr>
      <t>10</t>
    </r>
    <r>
      <rPr>
        <sz val="11"/>
        <color rgb="FF1F497D"/>
        <rFont val="Times New Roman"/>
        <family val="1"/>
      </rPr>
      <t>.</t>
    </r>
  </si>
  <si>
    <t>Table A-7: Inflation Adjustment Values</t>
  </si>
  <si>
    <t>Base Year of Nominal Dollar</t>
  </si>
  <si>
    <t>Multiplier to Adjust to Real 2023 $</t>
  </si>
  <si>
    <t>Table A-8: Pedestrian Facility Improvements Revealed Preference Values</t>
  </si>
  <si>
    <t>Improvement Type</t>
  </si>
  <si>
    <r>
      <t>Recommended Value per Person-Mile Walked (2023 $)</t>
    </r>
    <r>
      <rPr>
        <vertAlign val="superscript"/>
        <sz val="11"/>
        <color theme="0"/>
        <rFont val="Times New Roman"/>
        <family val="1"/>
      </rPr>
      <t>1</t>
    </r>
  </si>
  <si>
    <r>
      <t>Expand Sidewalk (per foot of added width)</t>
    </r>
    <r>
      <rPr>
        <vertAlign val="superscript"/>
        <sz val="11"/>
        <color rgb="FF1F497D"/>
        <rFont val="Times New Roman"/>
        <family val="1"/>
      </rPr>
      <t>2</t>
    </r>
  </si>
  <si>
    <t>Reducing Upslope by 1%</t>
  </si>
  <si>
    <t>Reducing Traffic Speed by 1 mph (for speeds ≤45 mph)</t>
  </si>
  <si>
    <t>Reducing Traffic Volume by 1 Vehicle per Hour (for ADT &lt;55,000)</t>
  </si>
  <si>
    <r>
      <t>Recommended Value per Use (2023 $)</t>
    </r>
    <r>
      <rPr>
        <vertAlign val="superscript"/>
        <sz val="11"/>
        <color theme="0"/>
        <rFont val="Times New Roman"/>
        <family val="1"/>
      </rPr>
      <t>1</t>
    </r>
  </si>
  <si>
    <t>Install Marked-Crosswalk on Roadway with Volumes ≥10,000 Vehicle per Day</t>
  </si>
  <si>
    <t>1)   These values assume an average walking trip speed of 3.2 miles per hour. For the mile-based benefits, the estimated value per user should be capped at 0.86 miles, the average length of a walking trip in the 2017 National Household Travel Survey, unless the applicant has specific documentation suggesting longer trips or that a trip shorter than 0.86 miles is not feasible on the facility in question. In other words, applicants should not assume all pedestrians travel the full distance of a proposed facility if the facility is longer than 0.86 miles without a clear justification for doing so.</t>
  </si>
  <si>
    <t>2)   Value for sidewalk width expansion applicable for sidewalks up to approximately 31 feet, benefits for expansions beyond this width should be described qualitatively.</t>
  </si>
  <si>
    <t>Table A-9: Cycling Facility Improvement Revealed Preference Values</t>
  </si>
  <si>
    <t>Facility Type</t>
  </si>
  <si>
    <r>
      <t>Recommended Value per Cycling Mile (2023 $)</t>
    </r>
    <r>
      <rPr>
        <vertAlign val="superscript"/>
        <sz val="11"/>
        <color theme="0"/>
        <rFont val="Times New Roman"/>
        <family val="1"/>
      </rPr>
      <t>1</t>
    </r>
  </si>
  <si>
    <t>Cycling Path with At-Grade Crossings</t>
  </si>
  <si>
    <r>
      <t>Cycling Path with no At-Grade Crossings</t>
    </r>
    <r>
      <rPr>
        <vertAlign val="superscript"/>
        <sz val="11"/>
        <color rgb="FF1F497D"/>
        <rFont val="Times New Roman"/>
        <family val="1"/>
      </rPr>
      <t>2</t>
    </r>
  </si>
  <si>
    <t>Dedicated Cycling Lane</t>
  </si>
  <si>
    <t>Cycling Boulevard/“Sharrow”</t>
  </si>
  <si>
    <t>Separated Cycle Track</t>
  </si>
  <si>
    <t>1) Values should only be applied over sections for which a comparable parallel facility is not available, and only applies to miles cycled on the project facility. These values assume an average cycling trip speed of 9.8 miles per hour or, in the case of off-street paths with no at-grade crossings, a free-flow cycling speed of 12.1 miles per hour. The estimated value per cyclist should be capped at 2.38 miles, the average length of a cycling trip in the 2017 National Household Travel Survey, unless the applicant has specific documentation suggesting longer trips or that a trip shorter than 2.38 miles is not feasible on the facility in question. In other words, applicants should not assume all cyclists travel the full distance of a proposed facility if the facility is longer than 2.38 miles without a clear justification for doing so.</t>
  </si>
  <si>
    <t>2) The value for a cycling path with no at-grade intersections is higher due to an assumption of higher average speed of 12.1 miles per hour, resulting in less time on the facility, which lowers journey quality benefits but increases travel time savings.</t>
  </si>
  <si>
    <t>Table A-10: Transit Facility Amenity Revealed and Stated Preference Values</t>
  </si>
  <si>
    <t>Attribute Type</t>
  </si>
  <si>
    <t>Recommended Value per User Trip (2023 $)</t>
  </si>
  <si>
    <t>Bus Stop</t>
  </si>
  <si>
    <t>Light Rail /Streetcar Stop</t>
  </si>
  <si>
    <t>Rail Station</t>
  </si>
  <si>
    <t>Clocks</t>
  </si>
  <si>
    <t>Electronic Real-Time Information Displays</t>
  </si>
  <si>
    <t>Information /Emergency Button</t>
  </si>
  <si>
    <t>PA System</t>
  </si>
  <si>
    <r>
      <t>Platform/Stop Seating Availability</t>
    </r>
    <r>
      <rPr>
        <vertAlign val="superscript"/>
        <sz val="11"/>
        <color rgb="FF1F497D"/>
        <rFont val="Times New Roman"/>
        <family val="1"/>
      </rPr>
      <t>1</t>
    </r>
  </si>
  <si>
    <r>
      <t>Platform/Stop Weather Protection</t>
    </r>
    <r>
      <rPr>
        <vertAlign val="superscript"/>
        <sz val="11"/>
        <color rgb="FF1F497D"/>
        <rFont val="Times New Roman"/>
        <family val="1"/>
      </rPr>
      <t>1</t>
    </r>
  </si>
  <si>
    <t>Restroom Availability</t>
  </si>
  <si>
    <t>Retail/Food Outlet Availability</t>
  </si>
  <si>
    <t>Staff Availability</t>
  </si>
  <si>
    <t>Step-Free Access to Station/Stop</t>
  </si>
  <si>
    <t>Step-Free Access to Vehicle</t>
  </si>
  <si>
    <t>Surveillance Cameras</t>
  </si>
  <si>
    <r>
      <t>Temperature Controlled Environment</t>
    </r>
    <r>
      <rPr>
        <vertAlign val="superscript"/>
        <sz val="11"/>
        <color rgb="FF1F497D"/>
        <rFont val="Times New Roman"/>
        <family val="1"/>
      </rPr>
      <t>1</t>
    </r>
  </si>
  <si>
    <t>Ticket Machines</t>
  </si>
  <si>
    <t>Timetables</t>
  </si>
  <si>
    <t>Bike Facilities</t>
  </si>
  <si>
    <t>Car Access Facilities</t>
  </si>
  <si>
    <t>Elevator</t>
  </si>
  <si>
    <t>Escalators</t>
  </si>
  <si>
    <t>On-Site Ticket Office</t>
  </si>
  <si>
    <t>Taxi Pickup/Dropoff</t>
  </si>
  <si>
    <r>
      <t>Waiting Room</t>
    </r>
    <r>
      <rPr>
        <vertAlign val="superscript"/>
        <sz val="11"/>
        <color rgb="FF1F497D"/>
        <rFont val="Times New Roman"/>
        <family val="1"/>
      </rPr>
      <t>1</t>
    </r>
  </si>
  <si>
    <t>1)  Note that seating availability and weather protection refer to seats, canopies, or wind shelters on the platforms themselves, whereas temperature-controlled environment refers to an indoor facility with heating and air conditioning availability. A waiting room refers to a designated indoor environment with seating availability, separate from platform seating, which may or may not be temperature controlled.</t>
  </si>
  <si>
    <t>Table A-11: Transit Vehicle Amenity Values</t>
  </si>
  <si>
    <t>Bus</t>
  </si>
  <si>
    <t>Light Rail /Streetcar</t>
  </si>
  <si>
    <t>Rail</t>
  </si>
  <si>
    <t>Handrails</t>
  </si>
  <si>
    <t>Luggage Storage</t>
  </si>
  <si>
    <t>Temperature Control</t>
  </si>
  <si>
    <t>Wheelchair Space</t>
  </si>
  <si>
    <t>Food Service Availability</t>
  </si>
  <si>
    <t>Table A-12: Transit Mode Ride and Boarding Quality Revealed Preference Values</t>
  </si>
  <si>
    <t>Transit Mode</t>
  </si>
  <si>
    <r>
      <t>Boarding Quality Benefit (Per Boarding) (2023 $)</t>
    </r>
    <r>
      <rPr>
        <vertAlign val="superscript"/>
        <sz val="11"/>
        <color theme="0"/>
        <rFont val="Calibri"/>
        <family val="2"/>
        <scheme val="minor"/>
      </rPr>
      <t>1</t>
    </r>
  </si>
  <si>
    <r>
      <t>Vehicle Ride Quality Benefit (Per Passenger Hour) (2023 $)</t>
    </r>
    <r>
      <rPr>
        <vertAlign val="superscript"/>
        <sz val="11"/>
        <color theme="0"/>
        <rFont val="Calibri"/>
        <family val="2"/>
        <scheme val="minor"/>
      </rPr>
      <t>1</t>
    </r>
  </si>
  <si>
    <r>
      <t>Low-Intensive BRT</t>
    </r>
    <r>
      <rPr>
        <vertAlign val="superscript"/>
        <sz val="11"/>
        <color theme="1"/>
        <rFont val="Calibri"/>
        <family val="2"/>
        <scheme val="minor"/>
      </rPr>
      <t>2</t>
    </r>
  </si>
  <si>
    <r>
      <t>Medium-Intensive BRT</t>
    </r>
    <r>
      <rPr>
        <vertAlign val="superscript"/>
        <sz val="11"/>
        <color theme="1"/>
        <rFont val="Calibri"/>
        <family val="2"/>
        <scheme val="minor"/>
      </rPr>
      <t>2</t>
    </r>
  </si>
  <si>
    <r>
      <t>High-Intensive BRT</t>
    </r>
    <r>
      <rPr>
        <vertAlign val="superscript"/>
        <sz val="11"/>
        <color theme="1"/>
        <rFont val="Calibri"/>
        <family val="2"/>
        <scheme val="minor"/>
      </rPr>
      <t>2,3</t>
    </r>
  </si>
  <si>
    <t>Streetcar or On-Street Light Rail Transit</t>
  </si>
  <si>
    <t>Off-Street Light Rail Transit</t>
  </si>
  <si>
    <t>Heavy Rail</t>
  </si>
  <si>
    <t>Commuter Rail</t>
  </si>
  <si>
    <r>
      <t>Ferry</t>
    </r>
    <r>
      <rPr>
        <vertAlign val="superscript"/>
        <sz val="11"/>
        <color theme="1"/>
        <rFont val="Calibri"/>
        <family val="2"/>
        <scheme val="minor"/>
      </rPr>
      <t>3</t>
    </r>
  </si>
  <si>
    <t>1) Values applicable when base case is transit use of standard on-street bus, the reference case used to create these values. When comparing other types of modal shift, the differences between the relevant modal values above should be used.</t>
  </si>
  <si>
    <t>2) Low-intensive BRT would include special service branding, low floor vehicles, at least 50 percent of route in dedicated lanes and potentially shared turns and the remainder in mixed-traffic, some signal priority, level boarding, off-board fare collection, and visually distinct stations. Medium-intensive BRT would include features of Low-intensive BRT but have 100 percent of the route in dedicated lanes, traffic signal priority throughout the corridor, and median-running service or right-turn prohibitions. High-intensive BRT would have a completely sealed right-of-way with no traffic interference and traffic signal preemption, akin to a “rubber-tired railroad.”</t>
  </si>
  <si>
    <t>3) The Capital Investment Grant program has to date not completed a before-and-after study of ridership on a ferry project or a high-intensive BRT as described above, and thus does not have a calibrated estimate for the fixedguideway setting for those modes. Thus, these values represent the current best estimates, considering average station and ride quality relative to other transit modes.</t>
  </si>
  <si>
    <t>Table A-13: Mortality Reduction Benefits of Induced Active Transportation Values</t>
  </si>
  <si>
    <t>Mode</t>
  </si>
  <si>
    <r>
      <t>Applicable Age Range</t>
    </r>
    <r>
      <rPr>
        <vertAlign val="superscript"/>
        <sz val="11"/>
        <color theme="0"/>
        <rFont val="Calibri"/>
        <family val="2"/>
        <scheme val="minor"/>
      </rPr>
      <t>3</t>
    </r>
  </si>
  <si>
    <r>
      <t>Recommended Value per Induced Trip (2023 $)</t>
    </r>
    <r>
      <rPr>
        <vertAlign val="superscript"/>
        <sz val="11"/>
        <color theme="0"/>
        <rFont val="Calibri"/>
        <family val="2"/>
        <scheme val="minor"/>
      </rPr>
      <t>4</t>
    </r>
  </si>
  <si>
    <r>
      <t>Walking</t>
    </r>
    <r>
      <rPr>
        <vertAlign val="superscript"/>
        <sz val="11"/>
        <color theme="1"/>
        <rFont val="Calibri"/>
        <family val="2"/>
        <scheme val="minor"/>
      </rPr>
      <t>1</t>
    </r>
  </si>
  <si>
    <t>Ages 20-74</t>
  </si>
  <si>
    <r>
      <t>Cycling</t>
    </r>
    <r>
      <rPr>
        <vertAlign val="superscript"/>
        <sz val="11"/>
        <color theme="1"/>
        <rFont val="Calibri"/>
        <family val="2"/>
        <scheme val="minor"/>
      </rPr>
      <t>2</t>
    </r>
  </si>
  <si>
    <t>Ages 20-64</t>
  </si>
  <si>
    <t xml:space="preserve">1)   Based on an assumed average walking speed of 3.2 miles per hour, an assumed average age of the relevant age range (20-74 years) of 45, a corresponding baseline mortality risk of 267.1 per 100,000, an annual risk reduction of 8.6 percent per daily mile walked, and an average walking trip distance of 0.86 miles. </t>
  </si>
  <si>
    <t>2)   Based on an assumed average cycling speed of 9.8 miles per hour, an assumed average age of the relevant age range (20-64 years) of 42, a corresponding baseline mortality risk of 217.9 per 100,000, an annual risk reduction of 4.3 percent per daily mile cycled, and an average cycling trip distance of 2.38 miles.</t>
  </si>
  <si>
    <t>3)   Absent more localized data on the proportion of the expected users falling into the age ranges above, applicants may apply a general assumption of 68% and 59% of overall induced trips falling into the walking and cycling age ranges, respectively, assuming a distribution matching the national average.</t>
  </si>
  <si>
    <t xml:space="preserve">4)   Applicants should ensure these monetization values are only applied to trips induced from non-active transportation modes within the relevant age ranges for each mode. Absent more localized data on the proportion of induced trips coming from non-active transportation modes, applicants may apply a general assumption of 89% of induced trips falling into that category, assuming a distribution matching the national average travel pattern. </t>
  </si>
  <si>
    <t>Table A-14: External Highway Use Costs</t>
  </si>
  <si>
    <t>Vehicle Type and Location</t>
  </si>
  <si>
    <r>
      <t>Recommended Value of Cost per Vehicle Mile Traveled (2023 $)</t>
    </r>
    <r>
      <rPr>
        <vertAlign val="superscript"/>
        <sz val="11"/>
        <color theme="0"/>
        <rFont val="Times New Roman"/>
        <family val="1"/>
      </rPr>
      <t>1</t>
    </r>
  </si>
  <si>
    <t>Congestion</t>
  </si>
  <si>
    <t>Noise</t>
  </si>
  <si>
    <t>Safety Cost</t>
  </si>
  <si>
    <r>
      <t>Non-CO</t>
    </r>
    <r>
      <rPr>
        <vertAlign val="subscript"/>
        <sz val="11"/>
        <color theme="0"/>
        <rFont val="Times New Roman"/>
        <family val="1"/>
      </rPr>
      <t>2</t>
    </r>
    <r>
      <rPr>
        <sz val="11"/>
        <color theme="0"/>
        <rFont val="Times New Roman"/>
        <family val="1"/>
      </rPr>
      <t xml:space="preserve"> Emission Cost</t>
    </r>
    <r>
      <rPr>
        <vertAlign val="superscript"/>
        <sz val="11"/>
        <color theme="0"/>
        <rFont val="Times New Roman"/>
        <family val="1"/>
      </rPr>
      <t>2</t>
    </r>
  </si>
  <si>
    <r>
      <t>CO</t>
    </r>
    <r>
      <rPr>
        <vertAlign val="subscript"/>
        <sz val="11"/>
        <color theme="0"/>
        <rFont val="Times New Roman"/>
        <family val="1"/>
      </rPr>
      <t>2</t>
    </r>
    <r>
      <rPr>
        <sz val="11"/>
        <color theme="0"/>
        <rFont val="Times New Roman"/>
        <family val="1"/>
      </rPr>
      <t xml:space="preserve"> Emission Cost</t>
    </r>
    <r>
      <rPr>
        <vertAlign val="superscript"/>
        <sz val="11"/>
        <color theme="0"/>
        <rFont val="Times New Roman"/>
        <family val="1"/>
      </rPr>
      <t>2</t>
    </r>
  </si>
  <si>
    <t>Light-Duty Vehicles - Urban</t>
  </si>
  <si>
    <t>Light-Duty Vehicles - Rural</t>
  </si>
  <si>
    <t>Light-Duty Vehicles – All Locations</t>
  </si>
  <si>
    <t>Buses and Trucks - Urban</t>
  </si>
  <si>
    <t>Buses and Trucks - Rural</t>
  </si>
  <si>
    <t>Buses and Trucks – All Locations</t>
  </si>
  <si>
    <t>All Vehicles - Urban</t>
  </si>
  <si>
    <t>All Vehicles - Rural</t>
  </si>
  <si>
    <t>All Vehicles – All Locations</t>
  </si>
  <si>
    <t>1)   Congestion costs updated from the 1997 Highway Cost Allocation Study to reflect increased traffic volumes, changes in vehicle occupancy, and increases in the value of time per person-hour since that time. Both congestion and noise costs are also adjusted from 1994 dollars to 2023 dollars using the GDP deflator.</t>
  </si>
  <si>
    <t>2)   Emission rates are based on estimates from EPA’s MOVES Model. The monetization applies the 2035-year emission value to approximate increasing emission damage costs over time. Non-CO2 emission damages should be discounted at 3.1 percent, while CO2 emission damages should be discounted at 2.0 percent.</t>
  </si>
  <si>
    <t>Analysis Year</t>
  </si>
  <si>
    <t xml:space="preserve">Year </t>
  </si>
  <si>
    <t>No-Build</t>
  </si>
  <si>
    <t>BUILD</t>
  </si>
  <si>
    <t>Maint &amp; Rehab Costs for US-75/81st</t>
  </si>
  <si>
    <t xml:space="preserve"> Capital Costs </t>
  </si>
  <si>
    <t xml:space="preserve"> Maintenance </t>
  </si>
  <si>
    <t>UT</t>
  </si>
  <si>
    <t>RW</t>
  </si>
  <si>
    <t xml:space="preserve"> TOTAL </t>
  </si>
  <si>
    <t>2022 Factor</t>
  </si>
  <si>
    <t>Year of Estimate</t>
  </si>
  <si>
    <t>year of estimate dollars</t>
  </si>
  <si>
    <t>2022 dollars</t>
  </si>
  <si>
    <t>Bridge Cost (design life greater than analysis period)</t>
  </si>
  <si>
    <t>TOTAL</t>
  </si>
  <si>
    <t>cost removed from Residual Value</t>
  </si>
  <si>
    <t>Total Bridge Cost</t>
  </si>
  <si>
    <t>Bridge Cost for Residual Value Calc</t>
  </si>
  <si>
    <t>Based on ODOT volume</t>
  </si>
  <si>
    <t>AADT Volume</t>
  </si>
  <si>
    <t>Annual Growth</t>
  </si>
  <si>
    <t>Delay Output Selected</t>
  </si>
  <si>
    <t>N of 81st</t>
  </si>
  <si>
    <t>OKDOT AADT N of 81</t>
  </si>
  <si>
    <t>27-Year Growth Factor</t>
  </si>
  <si>
    <t>Noon</t>
  </si>
  <si>
    <t>Veh - Hours</t>
  </si>
  <si>
    <t>Yearly Linear Rate to achieve growth 27-year Growth Factor</t>
  </si>
  <si>
    <t>EXIST</t>
  </si>
  <si>
    <t>PROP</t>
  </si>
  <si>
    <t>BENEFIT</t>
  </si>
  <si>
    <t>Directional Hourly</t>
  </si>
  <si>
    <t>Noon on/off?</t>
  </si>
  <si>
    <t>Noon Factor</t>
  </si>
  <si>
    <t>SYNCHRO Delay</t>
  </si>
  <si>
    <t>From Mike Spayd email 2/7/23</t>
  </si>
  <si>
    <t>VISSIM (total delay) - DDI+Olympia</t>
  </si>
  <si>
    <t>Arterial (81st Street)</t>
  </si>
  <si>
    <t>Growth Rate</t>
  </si>
  <si>
    <t>SYNCHRO (total delay)</t>
  </si>
  <si>
    <t>Based on Annual Growth</t>
  </si>
  <si>
    <t>5-Year Growth Factor</t>
  </si>
  <si>
    <t>Yearly Linear Rate to achieve growth 5-year Growth Factor</t>
  </si>
  <si>
    <t>VISSIM (total delay) - Just DDI</t>
  </si>
  <si>
    <t>23-Year Growth Factor</t>
  </si>
  <si>
    <t>Yearly Linear Rate to achieve growth 23-year Growth Factor</t>
  </si>
  <si>
    <t>Fuel Consumption (gal.)</t>
  </si>
  <si>
    <t>SYNCHRO</t>
  </si>
  <si>
    <t>28-Year Growth Factor</t>
  </si>
  <si>
    <t>Yearly Linear Rate to achieve growth 28-year Growth Factor</t>
  </si>
  <si>
    <t>CO</t>
  </si>
  <si>
    <t>2023 Volume</t>
  </si>
  <si>
    <t>NO x</t>
  </si>
  <si>
    <t>WB</t>
  </si>
  <si>
    <t>EB</t>
  </si>
  <si>
    <t>Combined</t>
  </si>
  <si>
    <t>2046 Volume</t>
  </si>
  <si>
    <t>Override</t>
  </si>
  <si>
    <t>Selected</t>
  </si>
  <si>
    <t>Override Linear Growth Rate</t>
  </si>
  <si>
    <t>Override Linear Growth Rate? (1=yes, 0=no)</t>
  </si>
  <si>
    <t>Growth Assumption per year</t>
  </si>
  <si>
    <t>2046 Volume Selected</t>
  </si>
  <si>
    <t>Source: EIA Energy Outlook 2023</t>
  </si>
  <si>
    <t>Table 12.</t>
  </si>
  <si>
    <t>Report</t>
  </si>
  <si>
    <t>Annual Energy Outlook 2023</t>
  </si>
  <si>
    <t>EIA - Annual Energy Outlook 2023</t>
  </si>
  <si>
    <t>Scenario</t>
  </si>
  <si>
    <t>Reference Case</t>
  </si>
  <si>
    <t>Datekey</t>
  </si>
  <si>
    <t>Tue Jan 23 2024 13:27:21 GMT-0500 (Eastern Standard Time)</t>
  </si>
  <si>
    <t>12. Petroleum and Other Liquids Prices</t>
  </si>
  <si>
    <t xml:space="preserve"> Sector and Fuel</t>
  </si>
  <si>
    <t>full name</t>
  </si>
  <si>
    <t>api key</t>
  </si>
  <si>
    <t>units</t>
  </si>
  <si>
    <t>Growth (2022-2050)</t>
  </si>
  <si>
    <t>Crude Oil Prices (2022 dollars per barrel)</t>
  </si>
  <si>
    <t>Brent Spot</t>
  </si>
  <si>
    <t>Real Petroleum Prices: Crude Oil: Brent Spot: Reference case</t>
  </si>
  <si>
    <t>AEO.2023.REF2023.PRCE_NA_NA_NA_CR_BRNTSPPR_USA_Y13DLRPBBL.A</t>
  </si>
  <si>
    <t>2022 $/b</t>
  </si>
  <si>
    <t>West Texas Intermediate Spot</t>
  </si>
  <si>
    <t>Real Petroleum Prices: Crude Oil: West Texas Intermediate Spot: Reference case</t>
  </si>
  <si>
    <t>AEO.2023.REF2023.PRCE_NA_NA_NA_CR_WTI_USA_Y13DLRPBBL.A</t>
  </si>
  <si>
    <t>Average Imported Cost</t>
  </si>
  <si>
    <t>Real Petroleum Prices: Crude Oil: Average Imported Cost: Reference case</t>
  </si>
  <si>
    <t>AEO.2023.REF2023.PRCE_NA_NA_NA_CR_IMCO_USA_Y13DLRPBBL.A</t>
  </si>
  <si>
    <t>Brent / West Texas Intermediate Spread</t>
  </si>
  <si>
    <t>Real Petroleum Prices: Crude Oil: Brent vs. WTI Price Spread: Reference case</t>
  </si>
  <si>
    <t>AEO.2023.REF2023.PRCE_MARK_NA_NA_CR_NA_USA_Y13DLRPBBL.A</t>
  </si>
  <si>
    <t>Delivered Sector Product Prices</t>
  </si>
  <si>
    <t>Residential</t>
  </si>
  <si>
    <t>Propane</t>
  </si>
  <si>
    <t>Real Petroleum Prices: Residential: Propane: Reference case</t>
  </si>
  <si>
    <t>AEO.2023.REF2023.PRCE_NA_RESD_NA_PROP_NA_USA_Y13DLRPGLN.A</t>
  </si>
  <si>
    <t>2022 $/gal</t>
  </si>
  <si>
    <t>Distillate Fuel Oil</t>
  </si>
  <si>
    <t>Real Petroleum Prices: Residential: Distillate Fuel Oil: Reference case</t>
  </si>
  <si>
    <t>AEO.2023.REF2023.PRCE_NA_RESD_NA_DFO_NA_USA_Y13DLRPGLN.A</t>
  </si>
  <si>
    <t>Commercial</t>
  </si>
  <si>
    <t>Real Petroleum Prices: Commercial: Distillate Fuel Oil: Reference case</t>
  </si>
  <si>
    <t>AEO.2023.REF2023.PRCE_NA_COMM_NA_DFO_NA_USA_Y13DLRPGLN.A</t>
  </si>
  <si>
    <t>Residual Fuel Oil</t>
  </si>
  <si>
    <t>Real Petroleum Prices: Commercial: Residual Fuel Oil: Reference case</t>
  </si>
  <si>
    <t>AEO.2023.REF2023.PRCE_NA_COMM_NA_RFO_NA_USA_Y13DLRPGLN.A</t>
  </si>
  <si>
    <t>Residual Fuel Oil (2022 dollars per barrel)</t>
  </si>
  <si>
    <t>AEO.2023.REF2023.PRCE_NA_COMM_NA_RFO_NA_USA_Y13DLRPBBL.A</t>
  </si>
  <si>
    <t>Industrial</t>
  </si>
  <si>
    <t>Real Petroleum Prices: Industrial: Propane: Reference case</t>
  </si>
  <si>
    <t>AEO.2023.REF2023.PRCE_NA_IDAL_NA_PROP_NA_USA_Y13DLRPGLN.A</t>
  </si>
  <si>
    <t>Real Petroleum Prices: Industrial: Distillate Fuel Oil: Reference case</t>
  </si>
  <si>
    <t>AEO.2023.REF2023.PRCE_NA_IDAL_NA_DFO_NA_USA_Y13DLRPGLN.A</t>
  </si>
  <si>
    <t>Real Petroleum Prices: Industrial: Residual Fuel Oil: Reference case</t>
  </si>
  <si>
    <t>AEO.2023.REF2023.PRCE_NA_IDAL_NA_RFO_NA_USA_Y13DLRPGLN.A</t>
  </si>
  <si>
    <t>AEO.2023.REF2023.PRCE_NA_IDAL_NA_RFO_NA_USA_Y13DLRPBBL.A</t>
  </si>
  <si>
    <t>Transportation</t>
  </si>
  <si>
    <t>Real Petroleum Prices: Transportation: Propane: Reference case</t>
  </si>
  <si>
    <t>AEO.2023.REF2023.PRCE_NA_TRN_NA_PROP_NA_USA_Y13DLRPGLN.A</t>
  </si>
  <si>
    <t>E85</t>
  </si>
  <si>
    <t>Real Petroleum Prices: Transportation: Ethanol (E85): Reference case</t>
  </si>
  <si>
    <t>AEO.2023.REF2023.PRCE_NA_TRN_NA_ETH_NA_USA_Y13DLRPGLN.A</t>
  </si>
  <si>
    <t>Ethanol Wholesale Price</t>
  </si>
  <si>
    <t>Real Petroleum Prices: Transportation: Ethanol Wholesale Price: Reference case</t>
  </si>
  <si>
    <t>AEO.2023.REF2023.PRCE_WHL_TRN_NA_ETH_NA_USA_Y13DLRPGLN.A</t>
  </si>
  <si>
    <t>Motor Gasoline</t>
  </si>
  <si>
    <t>Real Petroleum Prices: Transportation: Motor Gasoline: Reference case</t>
  </si>
  <si>
    <t>AEO.2023.REF2023.PRCE_NA_TRN_NA_MGS_NA_USA_Y13DLRPGLN.A</t>
  </si>
  <si>
    <t>Jet Fuel</t>
  </si>
  <si>
    <t>Real Petroleum Prices: Transportation: Jet Fuel: Reference case</t>
  </si>
  <si>
    <t>AEO.2023.REF2023.PRCE_NA_TRN_NA_JFL_NA_USA_Y13DLRPGLN.A</t>
  </si>
  <si>
    <t>Diesel Fuel (distillate fuel oil)</t>
  </si>
  <si>
    <t>Real Petroleum Prices: Transportation: Diesel Fuel: Reference case</t>
  </si>
  <si>
    <t>AEO.2023.REF2023.PRCE_NA_TRN_NA_DFU_NA_USA_Y13DLRPGLN.A</t>
  </si>
  <si>
    <t>Real Petroleum Prices: Transportation: Residual Fuel Oil: Reference case</t>
  </si>
  <si>
    <t>AEO.2023.REF2023.PRCE_NA_TRN_NA_RFO_NA_USA_Y13DLRPGLN.A</t>
  </si>
  <si>
    <t>AEO.2023.REF2023.PRCE_NA_TRN_NA_RFO_NA_USA_Y13DLRPBBL.A</t>
  </si>
  <si>
    <t>Electric Power</t>
  </si>
  <si>
    <t>Real Petroleum Prices: Electric Power: Distillate Fuel Oil: Reference case</t>
  </si>
  <si>
    <t>AEO.2023.REF2023.PRCE_NA_ELEP_NA_DFO_NA_USA_Y13DLRPGLN.A</t>
  </si>
  <si>
    <t>Real Petroleum Prices: Electric Power: Residual Fuel Oil: Reference case</t>
  </si>
  <si>
    <t>AEO.2023.REF2023.PRCE_NA_ELEP_NA_RFO_NA_USA_Y13DLRPGLN.A</t>
  </si>
  <si>
    <t>AEO.2023.REF2023.PRCE_NA_ELEP_NA_RFO_NA_USA_Y13DLRPBBL.A</t>
  </si>
  <si>
    <t>Average Prices</t>
  </si>
  <si>
    <t xml:space="preserve"> All Sectors</t>
  </si>
  <si>
    <t>Real Petroleum Prices: Refined Petroleum Product Prices: Propane: Reference case</t>
  </si>
  <si>
    <t>AEO.2023.REF2023.PRCE_NA_ALLS_NA_PROP_NA_USA_Y13DLRPGLN.A</t>
  </si>
  <si>
    <t>Real Petroleum Prices: Refined Petroleum Product Prices: Motor Gasoline: Reference case</t>
  </si>
  <si>
    <t>AEO.2023.REF2023.PRCE_NA_ALLS_NA_MGS_NA_USA_Y13DLRPGLN.A</t>
  </si>
  <si>
    <t>Real Petroleum Prices: Refined Petroleum Product Prices: Jet Fuel: Reference case</t>
  </si>
  <si>
    <t>AEO.2023.REF2023.PRCE_NA_ALLS_NA_JFL_NA_USA_Y13DLRPGLN.A</t>
  </si>
  <si>
    <t>Real Petroleum Prices: Refined Petroleum Product Prices: Distillate Fuel Oil: Reference case</t>
  </si>
  <si>
    <t>AEO.2023.REF2023.PRCE_NA_ALLS_NA_DFO_NA_USA_Y13DLRPGLN.A</t>
  </si>
  <si>
    <t>Real Petroleum Prices: Refined Petroleum Product Prices: Residual Fuel Oil: Reference case</t>
  </si>
  <si>
    <t>AEO.2023.REF2023.PRCE_NA_ALLS_NA_RFO_NA_USA_Y13DLRPGLN.A</t>
  </si>
  <si>
    <t>AEO.2023.REF2023.PRCE_NA_ALLS_NA_RFO_NA_USA_Y13DLRPBBL.A</t>
  </si>
  <si>
    <t>Average</t>
  </si>
  <si>
    <t>Real Petroleum Prices: Refined Petroleum Product Prices: Average: Reference case</t>
  </si>
  <si>
    <t>AEO.2023.REF2023.PRCE_NA_ALLS_NA_RPP_NA_USA_Y13DLRPGLN.A</t>
  </si>
  <si>
    <t>Prices in Nominal Dollars</t>
  </si>
  <si>
    <t>Crude Oil Spot Prices (nominal dollars per barr</t>
  </si>
  <si>
    <t>Nominal Petroleum Prices: Crude Oil: Brent Spot: Reference case</t>
  </si>
  <si>
    <t>AEO.2023.REF2023.PRCE_NA_NA_NA_CR_BRNTSPPR_USA_NDLRPBRL.A</t>
  </si>
  <si>
    <t>nom $/b</t>
  </si>
  <si>
    <t>Nominal Petroleum Prices: Crude Oil: West Texas Intermediate Spot: Reference case</t>
  </si>
  <si>
    <t>AEO.2023.REF2023.PRCE_NA_NA_NA_CR_WTI_USA_NDLRPBRL.A</t>
  </si>
  <si>
    <t>Nominal Petroleum Prices: Crude Oil: Average Imported Cost: Reference case</t>
  </si>
  <si>
    <t>AEO.2023.REF2023.PRCE_NA_NA_NA_CR_IMCO_USA_NDLRPBRL.A</t>
  </si>
  <si>
    <t>Nominal Dollars per Gallon</t>
  </si>
  <si>
    <t>Nominal Petroleum Prices: Residential: Propane: Reference case</t>
  </si>
  <si>
    <t>AEO.2023.REF2023.PRCE_NA_RESD_NA_PROP_NA_USA_NDLRPGLN.A</t>
  </si>
  <si>
    <t>nom $/gal</t>
  </si>
  <si>
    <t>Nominal Petroleum Prices: Residential: Distillate Fuel Oil: Reference case</t>
  </si>
  <si>
    <t>AEO.2023.REF2023.PRCE_NA_RESD_NA_DFO_NA_USA_NDLRPGLN.A</t>
  </si>
  <si>
    <t>Nominal Petroleum Prices: Commercial: Distillate Fuel Oil: Reference case</t>
  </si>
  <si>
    <t>AEO.2023.REF2023.PRCE_NA_COMM_NA_DFO_NA_USA_NDLRPGLN.A</t>
  </si>
  <si>
    <t>Nominal Petroleum Prices: Commercial: Residual Fuel Oil: Reference case</t>
  </si>
  <si>
    <t>AEO.2023.REF2023.PRCE_NA_COMM_NA_RFO_NA_USA_NDLRPGLN.A</t>
  </si>
  <si>
    <t>Nominal Petroleum Prices: Industrial: Propane: Reference case</t>
  </si>
  <si>
    <t>AEO.2023.REF2023.PRCE_NA_IDAL_NA_PROP_NA_USA_NDLRPGLN.A</t>
  </si>
  <si>
    <t>Nominal Petroleum Prices: Industrial: Distillate Fuel Oil: Reference case</t>
  </si>
  <si>
    <t>AEO.2023.REF2023.PRCE_NA_IDAL_NA_DFO_NA_USA_NDLRPGLN.A</t>
  </si>
  <si>
    <t>Nominal Petroleum Prices: Industrial: Residual Fuel Oil: Reference case</t>
  </si>
  <si>
    <t>AEO.2023.REF2023.PRCE_NA_IDAL_NA_RFO_NA_USA_NDLRPGLN.A</t>
  </si>
  <si>
    <t>Nominal Petroleum Prices: Transportation: Propane: Reference case</t>
  </si>
  <si>
    <t>AEO.2023.REF2023.PRCE_NA_TRN_NA_PROP_NA_USA_NDLRPGLN.A</t>
  </si>
  <si>
    <t>Nominal Petroleum Prices: Transportation: Ethanol (E85): Reference case</t>
  </si>
  <si>
    <t>AEO.2023.REF2023.PRCE_NA_TRN_NA_ETH_NA_USA_NDLRPGLN.A</t>
  </si>
  <si>
    <t>Nominal Petroleum Prices: Transportation: Ethanol Wholesale Price: Reference case</t>
  </si>
  <si>
    <t>AEO.2023.REF2023.PRCE_NA_TRN_NA_EWP_NA_USA_NDLRPGLN.A</t>
  </si>
  <si>
    <t>Nominal Petroleum Prices: Transportation: Motor Gasoline: Reference case</t>
  </si>
  <si>
    <t>AEO.2023.REF2023.PRCE_NA_TRN_NA_MGS_NA_USA_NDLRPGLN.A</t>
  </si>
  <si>
    <t>Nominal Petroleum Prices: Transportation: Jet Fuel: Reference case</t>
  </si>
  <si>
    <t>AEO.2023.REF2023.PRCE_NA_TRN_NA_JFL_NA_USA_NDLRPGLN.A</t>
  </si>
  <si>
    <t>Nominal Petroleum Prices: Transportation: Diesel Fuel: Reference case</t>
  </si>
  <si>
    <t>AEO.2023.REF2023.PRCE_NA_TRN_NA_DFU_NA_USA_NDLRPGLN.A</t>
  </si>
  <si>
    <t>Nominal Petroleum Prices: Transportation: Residual Fuel Oil: Reference case</t>
  </si>
  <si>
    <t>AEO.2023.REF2023.PRCE_NA_TRN_NA_RFO_NA_USA_NDLRPGLN.A</t>
  </si>
  <si>
    <t>Nominal Petroleum Prices: Electric Power: Distillate Fuel Oil: Reference case</t>
  </si>
  <si>
    <t>AEO.2023.REF2023.PRCE_NA_ELEP_NA_DFO_NA_USA_NDLRPGLN.A</t>
  </si>
  <si>
    <t>Nominal Petroleum Prices: Electric Power: Residual Fuel Oil: Reference case</t>
  </si>
  <si>
    <t>AEO.2023.REF2023.PRCE_NA_ELEP_NA_RFO_NA_USA_NDLRPGLN.A</t>
  </si>
  <si>
    <t>Nominal Petroleum Prices: Refined Petroleum Product Prices: Propane: Reference case</t>
  </si>
  <si>
    <t>AEO.2023.REF2023.PRCE_NA_NA_NA_PROP_NA_USA_NDLRPGLN.A</t>
  </si>
  <si>
    <t>Nominal Petroleum Prices: Refined Petroleum Product Prices: Motor Gasoline: Reference case</t>
  </si>
  <si>
    <t>AEO.2023.REF2023.PRCE_NA_NA_NA_MGS_NA_USA_NDLRPGLN.A</t>
  </si>
  <si>
    <t>Nominal Petroleum Prices: Refined Petroleum Product Prices: Jet Fuel: Reference case</t>
  </si>
  <si>
    <t>AEO.2023.REF2023.PRCE_NA_NA_NA_JFL_NA_USA_NDLRPGLN.A</t>
  </si>
  <si>
    <t>Nominal Petroleum Prices: Refined Petroleum Product Prices: Distillate Fuel Oil: Reference case</t>
  </si>
  <si>
    <t>AEO.2023.REF2023.PRCE_NA_NA_NA_DFO_NA_USA_NDLRPGLN.A</t>
  </si>
  <si>
    <t>Residual Fuel Oil (dollars per barrel)</t>
  </si>
  <si>
    <t>Nominal Petroleum Prices: Refined Petroleum Product Prices: Residual Fuel Oil: Reference case</t>
  </si>
  <si>
    <t>AEO.2023.REF2023.PRCE_NA_NA_NA_RFO_NA_USA_NDLRPBRL.A</t>
  </si>
  <si>
    <t>Nominal Petroleum Prices: Refined Petroleum Product Prices: Average: Reference case</t>
  </si>
  <si>
    <t>AEO.2023.REF2023.PRCE_NA_NA_NA_AVG_NA_USA_NDLRPGLN.A</t>
  </si>
  <si>
    <t>From INCOG</t>
  </si>
  <si>
    <t>We installed the counter for two weeks on the southeast corner of Hwy 71 and 81st St. After reviewing the data, and factoring in the weather, we believe an accurate number of sidewalk users for this location is between 40 - 97 per day.  Eco counter cannot differentiate between transportation modes (pedestrian, bicyclists, scooters etc.), and so we refer to the counts as “sidewalk users”.</t>
  </si>
  <si>
    <t>Low</t>
  </si>
  <si>
    <t>High</t>
  </si>
  <si>
    <t>Avg</t>
  </si>
  <si>
    <t>Source:</t>
  </si>
  <si>
    <t>https://www.census.gov/quickfacts/tulsacityoklahoma</t>
  </si>
  <si>
    <t>Population Start Year</t>
  </si>
  <si>
    <t>Population</t>
  </si>
  <si>
    <t>Population Finish Year</t>
  </si>
  <si>
    <t>Total Growth</t>
  </si>
  <si>
    <t xml:space="preserve">Crash Data at ramp terminals on 81st </t>
  </si>
  <si>
    <t>End Year</t>
  </si>
  <si>
    <t>Period</t>
  </si>
  <si>
    <t>Count</t>
  </si>
  <si>
    <t>Rate / year</t>
  </si>
  <si>
    <t>DDI Safety Study CMF Value</t>
  </si>
  <si>
    <t xml:space="preserve">Exhibit 4-7 in the FHWA DDI guide 2nd edition </t>
  </si>
  <si>
    <t>GC#</t>
  </si>
  <si>
    <t>DATE INCIDENT</t>
  </si>
  <si>
    <t>DEFENDANT</t>
  </si>
  <si>
    <t>STRUCTURE/CONTRACT</t>
  </si>
  <si>
    <t>DAMAGE LOSS</t>
  </si>
  <si>
    <t>AMOUNT CLAIMED</t>
  </si>
  <si>
    <t>AMOUNT RECEIVED</t>
  </si>
  <si>
    <t>DATE CLOSED</t>
  </si>
  <si>
    <t>DIST #</t>
  </si>
  <si>
    <t>Project #</t>
  </si>
  <si>
    <t>Posted Clearance</t>
  </si>
  <si>
    <t>2022 Dollars</t>
  </si>
  <si>
    <t>GCC-180</t>
  </si>
  <si>
    <t>Vaught Construction, Inc.</t>
  </si>
  <si>
    <t>Hwy 64 @ 129th W. Ave., Tulsa Co.</t>
  </si>
  <si>
    <t>Bridge (NBI 17277)</t>
  </si>
  <si>
    <t>SAP-272A(253)</t>
  </si>
  <si>
    <t>15' 0"</t>
  </si>
  <si>
    <t>GCC-181</t>
  </si>
  <si>
    <t>Blue White Trucking, Inc.</t>
  </si>
  <si>
    <t>I-40 EB @ Methodist Road, Canadian Co.</t>
  </si>
  <si>
    <t>Bridge (NBI 29923)</t>
  </si>
  <si>
    <t>SAP-4000(069)</t>
  </si>
  <si>
    <t>??</t>
  </si>
  <si>
    <t>GCC-191</t>
  </si>
  <si>
    <t>DD&amp;S Logistics, Inc.</t>
  </si>
  <si>
    <t>SH-20 @ CR Yale, Tulsa Co.</t>
  </si>
  <si>
    <t>Bridge (NBI 18076)</t>
  </si>
  <si>
    <t>SAP-014N(101)SS</t>
  </si>
  <si>
    <t>16' 2"</t>
  </si>
  <si>
    <t>GCC-211</t>
  </si>
  <si>
    <t>Gill's Waste Oil, LLC</t>
  </si>
  <si>
    <t xml:space="preserve">SH-49 @ I-44 W/B Off Ramp, Comanche Co. </t>
  </si>
  <si>
    <t>Bridge (NBI 15761)</t>
  </si>
  <si>
    <t>E-SAP-4400(049)_SS</t>
  </si>
  <si>
    <t>GCC-216</t>
  </si>
  <si>
    <t>JD Specialized Transport Co.</t>
  </si>
  <si>
    <t>State Hwy 3 @ State Hwy 1, Pontotoc Co.</t>
  </si>
  <si>
    <t>Bridge (NBI 29688)</t>
  </si>
  <si>
    <t>SAP-3500(075)SS</t>
  </si>
  <si>
    <t>16' 7"</t>
  </si>
  <si>
    <t>GCC-251</t>
  </si>
  <si>
    <t>Stone Trucking Company</t>
  </si>
  <si>
    <t>I-44 @ US-169, Tulsa Co.</t>
  </si>
  <si>
    <t>Bridge/Roadway (NBI 15855)</t>
  </si>
  <si>
    <t>E-SAP-4400(060)ES</t>
  </si>
  <si>
    <t>15' 8"</t>
  </si>
  <si>
    <t>GCC-253</t>
  </si>
  <si>
    <t>Big C's Towing</t>
  </si>
  <si>
    <t xml:space="preserve">US-271 @ County Rd., LeFlore Co. </t>
  </si>
  <si>
    <t>Bridge &amp; Concrete (NBI 10961)</t>
  </si>
  <si>
    <t>SAP-240C(078)ES</t>
  </si>
  <si>
    <t>14' 10"</t>
  </si>
  <si>
    <t>GCC-256</t>
  </si>
  <si>
    <t>Muzom Transportation</t>
  </si>
  <si>
    <t>I-35 NB @ S Edge US-77 (Bridge), Cleveland Co.</t>
  </si>
  <si>
    <t>Concrete Bridge Support (NBI 29220)</t>
  </si>
  <si>
    <t>SAP-214N(099)ES</t>
  </si>
  <si>
    <t>17' 3"</t>
  </si>
  <si>
    <t>GCC-259</t>
  </si>
  <si>
    <t>RK&amp;R Dozer Service LLC</t>
  </si>
  <si>
    <t>SH-51 EB @I-35 SB Payne Co.</t>
  </si>
  <si>
    <t>Bridge (NBI 28183)</t>
  </si>
  <si>
    <t>E-SAP-3500(088)ES</t>
  </si>
  <si>
    <t>16' 9"</t>
  </si>
  <si>
    <t xml:space="preserve"> </t>
  </si>
  <si>
    <t>GCC-273</t>
  </si>
  <si>
    <t>Garfield County</t>
  </si>
  <si>
    <t xml:space="preserve">5800 N. 4th @ SB HWY-81, Garfield Co. </t>
  </si>
  <si>
    <t>Bridge (NBI 30176)</t>
  </si>
  <si>
    <t>JP# 34665(04)</t>
  </si>
  <si>
    <t>16' 10"</t>
  </si>
  <si>
    <t>GCC-274</t>
  </si>
  <si>
    <t>TRS Services, Inc.</t>
  </si>
  <si>
    <t>I-40 @ Alfadale Rd. (43), Canadian Co.</t>
  </si>
  <si>
    <t>Bridge and Rail (NBI 16772)</t>
  </si>
  <si>
    <t>SAP-4000(101)ES</t>
  </si>
  <si>
    <t>15' 9"</t>
  </si>
  <si>
    <t>GCC-282</t>
  </si>
  <si>
    <t>Smithey Environmental Services</t>
  </si>
  <si>
    <t>I-244 EB / Main Street, Tulsa County, OK</t>
  </si>
  <si>
    <t>Bridge (NBI 18022)</t>
  </si>
  <si>
    <t>SAP-2440(029)</t>
  </si>
  <si>
    <t>13' 4"</t>
  </si>
  <si>
    <t>GCC-290</t>
  </si>
  <si>
    <t>GBT Roadlines, Inc.</t>
  </si>
  <si>
    <t>US-69 southbound at Redbud Lane, Bryan Co.</t>
  </si>
  <si>
    <t>Bridge (NBI 18578)</t>
  </si>
  <si>
    <t>SAP-013N(187)ES</t>
  </si>
  <si>
    <t>GCC-293</t>
  </si>
  <si>
    <t>A&amp;D Supply Company</t>
  </si>
  <si>
    <t>I-35 @ 12th Street, Moore, Cleveland Co.</t>
  </si>
  <si>
    <t>Bridge (NBI 17019)</t>
  </si>
  <si>
    <t>SAP-3500(109)ES</t>
  </si>
  <si>
    <t>GCC-297</t>
  </si>
  <si>
    <t>Earl Le Dozer, LLC</t>
  </si>
  <si>
    <t>US-412 (US-64) N. 65th over, Sand Springs, Tulsa Co.</t>
  </si>
  <si>
    <t>Bridge (NBI 18564)</t>
  </si>
  <si>
    <t>SAP-019N(147)ES</t>
  </si>
  <si>
    <t>14' 7"</t>
  </si>
  <si>
    <t>GCC-298</t>
  </si>
  <si>
    <t>C. Gull Tree Service</t>
  </si>
  <si>
    <t>N.W. 36th Street, I-44, Oklahoma City, Oklahoma Co.</t>
  </si>
  <si>
    <t>Bridge (NBI 18592)</t>
  </si>
  <si>
    <t>SAP-4400(088)ES</t>
  </si>
  <si>
    <t>16' 0"</t>
  </si>
  <si>
    <t>GCC-305</t>
  </si>
  <si>
    <t>Arkk Trucking</t>
  </si>
  <si>
    <t>I-44 Bridge over S. 33rd E. Avenue, Tulsa, Tulsa Co.</t>
  </si>
  <si>
    <t xml:space="preserve">Bridge </t>
  </si>
  <si>
    <t>NHPPI-4400(058)PM</t>
  </si>
  <si>
    <t>GCC-318</t>
  </si>
  <si>
    <t>Cleveland County</t>
  </si>
  <si>
    <t>SH-9 over US-77, Norman, Cleveland Co.</t>
  </si>
  <si>
    <t>Bridge (NBI 18072)</t>
  </si>
  <si>
    <t>SAP-214N(116)ES</t>
  </si>
  <si>
    <t>GCC-325</t>
  </si>
  <si>
    <t>GPEX Transport, Inc.</t>
  </si>
  <si>
    <t>I-35 at CR E205, Love Co.</t>
  </si>
  <si>
    <t>Bridge (NBI 16620)</t>
  </si>
  <si>
    <t>SAP-3500(127)ES</t>
  </si>
  <si>
    <t>GCC-326</t>
  </si>
  <si>
    <t>Vance Dotson Trucking</t>
  </si>
  <si>
    <t>I-44 near mm 2.5, Cotton Co.</t>
  </si>
  <si>
    <t>Bridge (NBI 15798)</t>
  </si>
  <si>
    <t>SAP-4400(098)ES</t>
  </si>
  <si>
    <t>GCC-335</t>
  </si>
  <si>
    <t>American Waste Control, Inc.</t>
  </si>
  <si>
    <t>US-75 over 41st St. Tulsa, Tulsa Co.</t>
  </si>
  <si>
    <t>Bridge (NBI 18311)</t>
  </si>
  <si>
    <t>SAP-014N(121)ES</t>
  </si>
  <si>
    <t>15' 2"</t>
  </si>
  <si>
    <t>GCC-337</t>
  </si>
  <si>
    <t>Hood Brand LLC</t>
  </si>
  <si>
    <t>New Haven Ave. over SH-11,  Tulsa, Tulsa Co.</t>
  </si>
  <si>
    <t>Bridge (NBI 22070)</t>
  </si>
  <si>
    <t>SAP-028N(006)ES</t>
  </si>
  <si>
    <t>16' 3"</t>
  </si>
  <si>
    <t>GCC-339</t>
  </si>
  <si>
    <t>Brixey Wasteworks, LLC</t>
  </si>
  <si>
    <t>US-69 Washington Ave. Bryan Co.</t>
  </si>
  <si>
    <t>Bridge (NBI 18081)</t>
  </si>
  <si>
    <t>E-SAP-013N(208)ES</t>
  </si>
  <si>
    <t>14' 6"</t>
  </si>
  <si>
    <t>GCC-343</t>
  </si>
  <si>
    <t>Becco Contractors, Inc.</t>
  </si>
  <si>
    <t>US-412/US-64 at 129th W Ave. Sand Springs, Tulsa Co.</t>
  </si>
  <si>
    <t>SAP-019N(153)ES</t>
  </si>
  <si>
    <t>GCC-352</t>
  </si>
  <si>
    <t>Big Iron Oilfield Services</t>
  </si>
  <si>
    <t>I-35 at Hereford Road, Carter Co.</t>
  </si>
  <si>
    <t>Bridge (NBI 17554)</t>
  </si>
  <si>
    <t>E-SAP-3500(141)ES</t>
  </si>
  <si>
    <t>16' 1"</t>
  </si>
  <si>
    <t>GCC-354</t>
  </si>
  <si>
    <t>MEI Contractors</t>
  </si>
  <si>
    <t>I-240 near S. Western, Oklahoma City, Oklahoma Co.</t>
  </si>
  <si>
    <t>Pedestrian Bridge (NBI 18117)</t>
  </si>
  <si>
    <t>E-SAP-2400(007)ES/</t>
  </si>
  <si>
    <t>GCC-375</t>
  </si>
  <si>
    <t>Wesley Byrd</t>
  </si>
  <si>
    <t>SH-51 over 145th/Aspen Ave., Tulsa, Tulsa Co.</t>
  </si>
  <si>
    <t>Bridge (NBI 27147)</t>
  </si>
  <si>
    <t>Bid set for April 2023</t>
  </si>
  <si>
    <t>16' 6"</t>
  </si>
  <si>
    <t>GCC-390</t>
  </si>
  <si>
    <t>Shoevaldoc Construction</t>
  </si>
  <si>
    <t>I-35 over SH-39, mm 92 near Purcell, McLain Co.</t>
  </si>
  <si>
    <t>Bridge (NBI 17207, 17208)</t>
  </si>
  <si>
    <t>BRIDGE HITS</t>
  </si>
  <si>
    <t>Total Damage</t>
  </si>
  <si>
    <t>Count of Bridge Hits with Damage</t>
  </si>
  <si>
    <t>Average Damage per Bridge Hit</t>
  </si>
  <si>
    <t>https://apps.bea.gov/iTable/?reqid=19&amp;step=3&amp;isuri=1&amp;1921=survey&amp;1903=11%23reqid%3D19&amp;step=3&amp;isuri=1&amp;1921=survey&amp;1903=11#eyJhcHBpZCI6MTksInN0ZXBzIjpbMSwyLDNdLCJkYXRhIjpbWyJOSVBBX1RhYmxlX0xpc3QiLCI1Il0sWyJDYXRlZ29yaWVzIiwiU3VydmV5Il1dfQ==</t>
  </si>
  <si>
    <t>GDP</t>
  </si>
  <si>
    <t>Factor</t>
  </si>
  <si>
    <t>N/A - Define in BCA Guidelines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</si>
</sst>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6" formatCode="&quot;$&quot;#,##0_);[Red]\(&quot;$&quot;#,##0\)"/>
    <numFmt numFmtId="8" formatCode="&quot;$&quot;#,##0.00_);[Red]\(&quot;$&quot;#,##0.00\)"/>
    <numFmt numFmtId="44" formatCode="_(&quot;$&quot;* #,##0.00_);_(&quot;$&quot;* \(#,##0.00\);_(&quot;$&quot;* &quot;-&quot;??_);_(@_)"/>
    <numFmt numFmtId="43" formatCode="_(* #,##0.00_);_(* \(#,##0.00\);_(* &quot;-&quot;??_);_(@_)"/>
    <numFmt numFmtId="164" formatCode="0.0000"/>
    <numFmt numFmtId="165" formatCode="_(&quot;$&quot;* #,##0_);_(&quot;$&quot;* \(#,##0\);_(&quot;$&quot;* &quot;-&quot;??_);_(@_)"/>
    <numFmt numFmtId="166" formatCode="\$0"/>
    <numFmt numFmtId="167" formatCode="0.0"/>
    <numFmt numFmtId="168" formatCode="_(* #,##0_);_(* \(#,##0\);_(* &quot;-&quot;??_);_(@_)"/>
    <numFmt numFmtId="169" formatCode="&quot;$&quot;#,##0.00"/>
    <numFmt numFmtId="170" formatCode="0.0%"/>
    <numFmt numFmtId="171" formatCode="0.0000000%"/>
    <numFmt numFmtId="172" formatCode="_(* #,##0.0_);_(* \(#,##0.0\);_(* &quot;-&quot;??_);_(@_)"/>
    <numFmt numFmtId="173" formatCode="_(* #,##0.000_);_(* \(#,##0.000\);_(* &quot;-&quot;??_);_(@_)"/>
    <numFmt numFmtId="174" formatCode="0.000%"/>
    <numFmt numFmtId="175" formatCode="&quot;$&quot;#,##0"/>
    <numFmt numFmtId="176" formatCode="_(&quot;$&quot;* #,##0.0_);_(&quot;$&quot;* \(#,##0.0\);_(&quot;$&quot;* &quot;-&quot;??_);_(@_)"/>
    <numFmt numFmtId="177" formatCode="&quot;$&quot;#,##0.0000"/>
    <numFmt numFmtId="178" formatCode="&quot;$&quot;#,##0.000_);[Red]\(&quot;$&quot;#,##0.000\)"/>
    <numFmt numFmtId="179" formatCode="&quot;$&quot;#,##0.0000_);[Red]\(&quot;$&quot;#,##0.0000\)"/>
    <numFmt numFmtId="180" formatCode="0.000"/>
  </numFmts>
  <fonts count="77" x14ac:knownFonts="1">
    <font>
      <sz val="11"/>
      <color theme="1"/>
      <name val="Calibri"/>
      <family val="2"/>
      <scheme val="minor"/>
    </font>
    <font>
      <sz val="11"/>
      <color theme="1"/>
      <name val="Arial"/>
      <family val="2"/>
    </font>
    <font>
      <sz val="11"/>
      <color theme="1"/>
      <name val="Calibri"/>
      <family val="2"/>
      <scheme val="minor"/>
    </font>
    <font>
      <b/>
      <sz val="15"/>
      <color theme="3"/>
      <name val="Calibri"/>
      <family val="2"/>
      <scheme val="minor"/>
    </font>
    <font>
      <sz val="11"/>
      <color theme="1"/>
      <name val="Arial"/>
      <family val="2"/>
    </font>
    <font>
      <b/>
      <sz val="11"/>
      <color theme="1"/>
      <name val="Arial"/>
      <family val="2"/>
    </font>
    <font>
      <sz val="11"/>
      <color theme="4"/>
      <name val="Arial"/>
      <family val="2"/>
    </font>
    <font>
      <b/>
      <sz val="15"/>
      <color theme="9"/>
      <name val="Arial"/>
      <family val="2"/>
    </font>
    <font>
      <b/>
      <sz val="15"/>
      <color theme="4"/>
      <name val="Arial"/>
      <family val="2"/>
    </font>
    <font>
      <sz val="11"/>
      <color theme="6"/>
      <name val="Arial"/>
      <family val="2"/>
    </font>
    <font>
      <sz val="11"/>
      <name val="Arial"/>
      <family val="2"/>
    </font>
    <font>
      <u/>
      <sz val="11"/>
      <color theme="10"/>
      <name val="Calibri"/>
      <family val="2"/>
      <scheme val="minor"/>
    </font>
    <font>
      <sz val="10"/>
      <color rgb="FF000000"/>
      <name val="Times New Roman"/>
      <family val="1"/>
    </font>
    <font>
      <b/>
      <sz val="11"/>
      <name val="Times New Roman"/>
      <family val="1"/>
    </font>
    <font>
      <sz val="11"/>
      <name val="Times New Roman"/>
      <family val="1"/>
    </font>
    <font>
      <i/>
      <sz val="11"/>
      <name val="Times New Roman"/>
      <family val="1"/>
    </font>
    <font>
      <sz val="8"/>
      <name val="Calibri"/>
      <family val="2"/>
      <scheme val="minor"/>
    </font>
    <font>
      <b/>
      <sz val="11"/>
      <color theme="0"/>
      <name val="Calibri"/>
      <family val="2"/>
      <scheme val="minor"/>
    </font>
    <font>
      <b/>
      <sz val="11"/>
      <color theme="1"/>
      <name val="Calibri"/>
      <family val="2"/>
      <scheme val="minor"/>
    </font>
    <font>
      <i/>
      <sz val="11"/>
      <color theme="1"/>
      <name val="Arial"/>
      <family val="2"/>
    </font>
    <font>
      <i/>
      <sz val="11"/>
      <color theme="6"/>
      <name val="Arial"/>
      <family val="2"/>
    </font>
    <font>
      <i/>
      <sz val="11"/>
      <color theme="1"/>
      <name val="Calibri"/>
      <family val="2"/>
      <scheme val="minor"/>
    </font>
    <font>
      <b/>
      <i/>
      <sz val="11"/>
      <color theme="1"/>
      <name val="Arial"/>
      <family val="2"/>
    </font>
    <font>
      <sz val="11"/>
      <color rgb="FF000000"/>
      <name val="Calibri"/>
      <family val="2"/>
    </font>
    <font>
      <sz val="10"/>
      <color rgb="FF000000"/>
      <name val="Times New Roman"/>
      <family val="1"/>
    </font>
    <font>
      <b/>
      <sz val="11"/>
      <color rgb="FFFFFFFF"/>
      <name val="Calibri"/>
      <family val="2"/>
    </font>
    <font>
      <sz val="11"/>
      <color rgb="FFFFFFFF"/>
      <name val="Arial Black"/>
      <family val="2"/>
    </font>
    <font>
      <b/>
      <sz val="11"/>
      <color rgb="FFFFFFFF"/>
      <name val="Arial Black"/>
      <family val="2"/>
    </font>
    <font>
      <sz val="11"/>
      <color theme="1"/>
      <name val="Calibri"/>
      <family val="2"/>
    </font>
    <font>
      <sz val="11"/>
      <color rgb="FF808080"/>
      <name val="Calibri"/>
      <family val="2"/>
    </font>
    <font>
      <b/>
      <sz val="12"/>
      <color rgb="FF000000"/>
      <name val="Calibri"/>
      <family val="2"/>
    </font>
    <font>
      <b/>
      <sz val="12"/>
      <color theme="1"/>
      <name val="Calibri"/>
      <family val="2"/>
    </font>
    <font>
      <b/>
      <sz val="13"/>
      <color theme="3"/>
      <name val="Calibri"/>
      <family val="2"/>
      <scheme val="minor"/>
    </font>
    <font>
      <b/>
      <i/>
      <sz val="10"/>
      <color theme="1"/>
      <name val="Calibri"/>
      <family val="2"/>
      <scheme val="minor"/>
    </font>
    <font>
      <b/>
      <i/>
      <sz val="11"/>
      <color theme="1"/>
      <name val="Calibri"/>
      <family val="2"/>
      <scheme val="minor"/>
    </font>
    <font>
      <b/>
      <sz val="10"/>
      <color theme="1"/>
      <name val="Calibri"/>
      <family val="2"/>
      <scheme val="minor"/>
    </font>
    <font>
      <b/>
      <sz val="9"/>
      <name val="Calibri"/>
      <family val="2"/>
      <scheme val="minor"/>
    </font>
    <font>
      <sz val="11"/>
      <color rgb="FF000000"/>
      <name val="Calibri"/>
      <family val="2"/>
      <scheme val="minor"/>
    </font>
    <font>
      <b/>
      <sz val="11"/>
      <color rgb="FF000000"/>
      <name val="Calibri"/>
      <family val="2"/>
    </font>
    <font>
      <b/>
      <sz val="11"/>
      <color theme="6"/>
      <name val="Arial"/>
      <family val="2"/>
    </font>
    <font>
      <sz val="10"/>
      <name val="Arial"/>
      <family val="2"/>
    </font>
    <font>
      <b/>
      <sz val="10"/>
      <name val="Arial"/>
      <family val="2"/>
    </font>
    <font>
      <sz val="10"/>
      <color rgb="FFFF0000"/>
      <name val="Arial"/>
      <family val="2"/>
    </font>
    <font>
      <sz val="9"/>
      <color indexed="8"/>
      <name val="Calibri"/>
      <family val="2"/>
    </font>
    <font>
      <b/>
      <sz val="9"/>
      <color indexed="8"/>
      <name val="Calibri"/>
      <family val="2"/>
    </font>
    <font>
      <sz val="10"/>
      <color indexed="8"/>
      <name val="Arial"/>
      <family val="2"/>
    </font>
    <font>
      <sz val="8"/>
      <name val="Arial"/>
      <family val="2"/>
    </font>
    <font>
      <b/>
      <sz val="12"/>
      <color indexed="30"/>
      <name val="Calibri"/>
      <family val="2"/>
    </font>
    <font>
      <b/>
      <sz val="9"/>
      <name val="Calibri"/>
      <family val="2"/>
    </font>
    <font>
      <b/>
      <sz val="14"/>
      <color theme="1"/>
      <name val="Arial"/>
      <family val="2"/>
    </font>
    <font>
      <b/>
      <sz val="15"/>
      <color rgb="FFFFC000"/>
      <name val="Arial"/>
      <family val="2"/>
    </font>
    <font>
      <b/>
      <sz val="20"/>
      <color theme="1"/>
      <name val="Calibri"/>
      <family val="2"/>
      <scheme val="minor"/>
    </font>
    <font>
      <b/>
      <sz val="15"/>
      <color theme="8"/>
      <name val="Arial"/>
      <family val="2"/>
    </font>
    <font>
      <sz val="11"/>
      <color theme="0"/>
      <name val="Arial"/>
      <family val="2"/>
    </font>
    <font>
      <b/>
      <sz val="11"/>
      <color theme="0"/>
      <name val="Times New Roman"/>
      <family val="1"/>
    </font>
    <font>
      <sz val="11"/>
      <color theme="1"/>
      <name val="Times New Roman"/>
      <family val="1"/>
    </font>
    <font>
      <b/>
      <i/>
      <sz val="11"/>
      <color theme="1"/>
      <name val="Times New Roman"/>
      <family val="1"/>
    </font>
    <font>
      <i/>
      <sz val="11"/>
      <color theme="4"/>
      <name val="Arial"/>
      <family val="2"/>
    </font>
    <font>
      <sz val="11"/>
      <color rgb="FF000000"/>
      <name val="Times New Roman"/>
      <family val="1"/>
    </font>
    <font>
      <b/>
      <sz val="11"/>
      <color theme="1"/>
      <name val="Times New Roman"/>
      <family val="1"/>
    </font>
    <font>
      <vertAlign val="subscript"/>
      <sz val="11"/>
      <color theme="1"/>
      <name val="Times New Roman"/>
      <family val="1"/>
    </font>
    <font>
      <sz val="11"/>
      <color rgb="FF1F497D"/>
      <name val="Times New Roman"/>
      <family val="1"/>
    </font>
    <font>
      <vertAlign val="superscript"/>
      <sz val="11"/>
      <color rgb="FF1F497D"/>
      <name val="Times New Roman"/>
      <family val="1"/>
    </font>
    <font>
      <vertAlign val="superscript"/>
      <sz val="11"/>
      <color theme="1"/>
      <name val="Calibri"/>
      <family val="2"/>
      <scheme val="minor"/>
    </font>
    <font>
      <b/>
      <i/>
      <sz val="11"/>
      <color theme="8" tint="-0.249977111117893"/>
      <name val="Times New Roman"/>
      <family val="1"/>
    </font>
    <font>
      <vertAlign val="superscript"/>
      <sz val="11"/>
      <color theme="1"/>
      <name val="Times New Roman"/>
      <family val="1"/>
    </font>
    <font>
      <vertAlign val="subscript"/>
      <sz val="11"/>
      <color rgb="FF1F497D"/>
      <name val="Times New Roman"/>
      <family val="1"/>
    </font>
    <font>
      <sz val="12"/>
      <color theme="1"/>
      <name val="Calibri"/>
      <family val="2"/>
      <scheme val="minor"/>
    </font>
    <font>
      <b/>
      <sz val="16"/>
      <color theme="0"/>
      <name val="Calibri"/>
      <family val="2"/>
      <scheme val="minor"/>
    </font>
    <font>
      <sz val="11"/>
      <color theme="0"/>
      <name val="Times New Roman"/>
      <family val="1"/>
    </font>
    <font>
      <vertAlign val="superscript"/>
      <sz val="11"/>
      <color theme="0"/>
      <name val="Times New Roman"/>
      <family val="1"/>
    </font>
    <font>
      <vertAlign val="superscript"/>
      <sz val="11"/>
      <color theme="0"/>
      <name val="Calibri"/>
      <family val="2"/>
      <scheme val="minor"/>
    </font>
    <font>
      <vertAlign val="subscript"/>
      <sz val="11"/>
      <color theme="0"/>
      <name val="Times New Roman"/>
      <family val="1"/>
    </font>
    <font>
      <i/>
      <sz val="11"/>
      <color theme="0" tint="-0.34998626667073579"/>
      <name val="Arial"/>
      <family val="2"/>
    </font>
    <font>
      <sz val="11"/>
      <name val="Calibri"/>
      <family val="2"/>
      <scheme val="minor"/>
    </font>
    <font>
      <b/>
      <u/>
      <sz val="11"/>
      <color theme="1"/>
      <name val="Arial"/>
      <family val="2"/>
    </font>
    <font>
      <i/>
      <sz val="11"/>
      <name val="Arial"/>
      <family val="2"/>
    </font>
  </fonts>
  <fills count="21">
    <fill>
      <patternFill patternType="none"/>
    </fill>
    <fill>
      <patternFill patternType="gray125"/>
    </fill>
    <fill>
      <patternFill patternType="solid">
        <fgColor theme="4" tint="0.79998168889431442"/>
        <bgColor indexed="65"/>
      </patternFill>
    </fill>
    <fill>
      <patternFill patternType="solid">
        <fgColor theme="4" tint="0.79998168889431442"/>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rgb="FF2F75B5"/>
        <bgColor indexed="64"/>
      </patternFill>
    </fill>
    <fill>
      <patternFill patternType="solid">
        <fgColor rgb="FF00B0F0"/>
        <bgColor indexed="64"/>
      </patternFill>
    </fill>
    <fill>
      <patternFill patternType="solid">
        <fgColor theme="1"/>
        <bgColor indexed="64"/>
      </patternFill>
    </fill>
    <fill>
      <patternFill patternType="solid">
        <fgColor rgb="FF92D050"/>
        <bgColor indexed="64"/>
      </patternFill>
    </fill>
    <fill>
      <patternFill patternType="solid">
        <fgColor theme="0" tint="-0.249977111117893"/>
        <bgColor indexed="64"/>
      </patternFill>
    </fill>
    <fill>
      <patternFill patternType="solid">
        <fgColor theme="0"/>
        <bgColor indexed="64"/>
      </patternFill>
    </fill>
    <fill>
      <patternFill patternType="solid">
        <fgColor theme="7" tint="0.79998168889431442"/>
        <bgColor indexed="64"/>
      </patternFill>
    </fill>
    <fill>
      <patternFill patternType="solid">
        <fgColor theme="8"/>
        <bgColor indexed="64"/>
      </patternFill>
    </fill>
    <fill>
      <patternFill patternType="solid">
        <fgColor theme="4"/>
        <bgColor theme="4"/>
      </patternFill>
    </fill>
    <fill>
      <patternFill patternType="solid">
        <fgColor theme="4"/>
        <bgColor indexed="64"/>
      </patternFill>
    </fill>
    <fill>
      <patternFill patternType="solid">
        <fgColor rgb="FFFFFFCC"/>
      </patternFill>
    </fill>
    <fill>
      <patternFill patternType="solid">
        <fgColor theme="0" tint="-0.14999847407452621"/>
        <bgColor indexed="64"/>
      </patternFill>
    </fill>
    <fill>
      <patternFill patternType="solid">
        <fgColor rgb="FF44546A"/>
        <bgColor indexed="64"/>
      </patternFill>
    </fill>
    <fill>
      <patternFill patternType="solid">
        <fgColor rgb="FFFFFFFF"/>
        <bgColor indexed="64"/>
      </patternFill>
    </fill>
  </fills>
  <borders count="68">
    <border>
      <left/>
      <right/>
      <top/>
      <bottom/>
      <diagonal/>
    </border>
    <border>
      <left/>
      <right/>
      <top/>
      <bottom style="thick">
        <color theme="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right style="medium">
        <color indexed="64"/>
      </right>
      <top/>
      <bottom/>
      <diagonal/>
    </border>
    <border>
      <left style="medium">
        <color indexed="64"/>
      </left>
      <right/>
      <top/>
      <bottom style="medium">
        <color indexed="64"/>
      </bottom>
      <diagonal/>
    </border>
    <border>
      <left style="medium">
        <color indexed="64"/>
      </left>
      <right/>
      <top/>
      <bottom/>
      <diagonal/>
    </border>
    <border>
      <left/>
      <right/>
      <top/>
      <bottom style="thick">
        <color theme="4" tint="0.499984740745262"/>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right/>
      <top style="medium">
        <color indexed="64"/>
      </top>
      <bottom/>
      <diagonal/>
    </border>
    <border>
      <left/>
      <right/>
      <top/>
      <bottom style="thick">
        <color rgb="FF0096D7"/>
      </bottom>
      <diagonal/>
    </border>
    <border>
      <left/>
      <right/>
      <top/>
      <bottom style="thin">
        <color rgb="FFBFBFBF"/>
      </bottom>
      <diagonal/>
    </border>
    <border>
      <left/>
      <right/>
      <top/>
      <bottom style="dashed">
        <color rgb="FFBFBFBF"/>
      </bottom>
      <diagonal/>
    </border>
    <border>
      <left/>
      <right/>
      <top style="medium">
        <color rgb="FF0096D7"/>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theme="4"/>
      </top>
      <bottom/>
      <diagonal/>
    </border>
    <border>
      <left style="thin">
        <color theme="4"/>
      </left>
      <right/>
      <top style="thin">
        <color theme="4"/>
      </top>
      <bottom/>
      <diagonal/>
    </border>
    <border>
      <left/>
      <right style="thin">
        <color theme="4"/>
      </right>
      <top style="thin">
        <color theme="4"/>
      </top>
      <bottom/>
      <diagonal/>
    </border>
    <border>
      <left/>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style="medium">
        <color indexed="64"/>
      </top>
      <bottom style="thin">
        <color indexed="64"/>
      </bottom>
      <diagonal/>
    </border>
  </borders>
  <cellStyleXfs count="23">
    <xf numFmtId="0" fontId="0" fillId="0" borderId="0"/>
    <xf numFmtId="43" fontId="2" fillId="0" borderId="0" applyFont="0" applyFill="0" applyBorder="0" applyAlignment="0" applyProtection="0"/>
    <xf numFmtId="44" fontId="2" fillId="0" borderId="0" applyFont="0" applyFill="0" applyBorder="0" applyAlignment="0" applyProtection="0"/>
    <xf numFmtId="0" fontId="3" fillId="0" borderId="1" applyNumberFormat="0" applyFill="0" applyAlignment="0" applyProtection="0"/>
    <xf numFmtId="0" fontId="2" fillId="2" borderId="0" applyNumberFormat="0" applyBorder="0" applyAlignment="0" applyProtection="0"/>
    <xf numFmtId="0" fontId="11" fillId="0" borderId="0" applyNumberFormat="0" applyFill="0" applyBorder="0" applyAlignment="0" applyProtection="0"/>
    <xf numFmtId="0" fontId="12" fillId="0" borderId="0"/>
    <xf numFmtId="9" fontId="2" fillId="0" borderId="0" applyFont="0" applyFill="0" applyBorder="0" applyAlignment="0" applyProtection="0"/>
    <xf numFmtId="0" fontId="24" fillId="0" borderId="0"/>
    <xf numFmtId="0" fontId="32" fillId="0" borderId="32" applyNumberFormat="0" applyFill="0" applyAlignment="0" applyProtection="0"/>
    <xf numFmtId="0" fontId="2" fillId="0" borderId="0"/>
    <xf numFmtId="9" fontId="12" fillId="0" borderId="0" applyFont="0" applyFill="0" applyBorder="0" applyAlignment="0" applyProtection="0"/>
    <xf numFmtId="9" fontId="2" fillId="0" borderId="0" applyFont="0" applyFill="0" applyBorder="0" applyAlignment="0" applyProtection="0"/>
    <xf numFmtId="0" fontId="40" fillId="0" borderId="0"/>
    <xf numFmtId="0" fontId="43" fillId="0" borderId="0"/>
    <xf numFmtId="0" fontId="44" fillId="0" borderId="48">
      <alignment wrapText="1"/>
    </xf>
    <xf numFmtId="0" fontId="47" fillId="0" borderId="0">
      <alignment horizontal="left"/>
    </xf>
    <xf numFmtId="0" fontId="44" fillId="0" borderId="49">
      <alignment wrapText="1"/>
    </xf>
    <xf numFmtId="0" fontId="43" fillId="0" borderId="50">
      <alignment wrapText="1"/>
    </xf>
    <xf numFmtId="0" fontId="43" fillId="0" borderId="51">
      <alignment wrapText="1"/>
    </xf>
    <xf numFmtId="0" fontId="2" fillId="17" borderId="62" applyNumberFormat="0" applyFont="0" applyAlignment="0" applyProtection="0"/>
    <xf numFmtId="0" fontId="67" fillId="0" borderId="0"/>
    <xf numFmtId="0" fontId="11" fillId="0" borderId="0" applyNumberFormat="0" applyFill="0" applyBorder="0" applyAlignment="0" applyProtection="0"/>
  </cellStyleXfs>
  <cellXfs count="541">
    <xf numFmtId="0" fontId="0" fillId="0" borderId="0" xfId="0"/>
    <xf numFmtId="0" fontId="4" fillId="0" borderId="0" xfId="0" applyFont="1"/>
    <xf numFmtId="0" fontId="5" fillId="0" borderId="0" xfId="0" applyFont="1"/>
    <xf numFmtId="0" fontId="7" fillId="0" borderId="0" xfId="3" applyFont="1" applyBorder="1"/>
    <xf numFmtId="0" fontId="4" fillId="4" borderId="0" xfId="0" applyFont="1" applyFill="1"/>
    <xf numFmtId="0" fontId="6" fillId="3" borderId="0" xfId="0" applyFont="1" applyFill="1"/>
    <xf numFmtId="0" fontId="8" fillId="0" borderId="0" xfId="3" applyFont="1" applyBorder="1"/>
    <xf numFmtId="0" fontId="9" fillId="0" borderId="0" xfId="0" applyFont="1"/>
    <xf numFmtId="0" fontId="9" fillId="4" borderId="0" xfId="0" applyFont="1" applyFill="1"/>
    <xf numFmtId="0" fontId="10" fillId="0" borderId="0" xfId="0" applyFont="1"/>
    <xf numFmtId="0" fontId="19" fillId="0" borderId="0" xfId="0" applyFont="1"/>
    <xf numFmtId="0" fontId="20" fillId="0" borderId="0" xfId="0" applyFont="1"/>
    <xf numFmtId="0" fontId="24" fillId="0" borderId="0" xfId="8" applyAlignment="1">
      <alignment horizontal="left" vertical="top"/>
    </xf>
    <xf numFmtId="0" fontId="26" fillId="7" borderId="26" xfId="0" applyFont="1" applyFill="1" applyBorder="1" applyAlignment="1">
      <alignment horizontal="center" vertical="center"/>
    </xf>
    <xf numFmtId="0" fontId="25" fillId="7" borderId="29" xfId="0" applyFont="1" applyFill="1" applyBorder="1" applyAlignment="1">
      <alignment horizontal="center" vertical="center"/>
    </xf>
    <xf numFmtId="0" fontId="23" fillId="0" borderId="30" xfId="0" applyFont="1" applyBorder="1" applyAlignment="1">
      <alignment horizontal="center" vertical="center"/>
    </xf>
    <xf numFmtId="0" fontId="23" fillId="0" borderId="20" xfId="0" applyFont="1" applyBorder="1" applyAlignment="1">
      <alignment vertical="center"/>
    </xf>
    <xf numFmtId="0" fontId="23" fillId="0" borderId="31" xfId="0" applyFont="1" applyBorder="1" applyAlignment="1">
      <alignment horizontal="center" vertical="center"/>
    </xf>
    <xf numFmtId="168" fontId="23" fillId="0" borderId="20" xfId="1" applyNumberFormat="1" applyFont="1" applyBorder="1" applyAlignment="1">
      <alignment vertical="center"/>
    </xf>
    <xf numFmtId="0" fontId="23" fillId="0" borderId="2" xfId="0" applyFont="1" applyBorder="1" applyAlignment="1">
      <alignment horizontal="center" vertical="center"/>
    </xf>
    <xf numFmtId="0" fontId="23" fillId="0" borderId="3" xfId="0" applyFont="1" applyBorder="1" applyAlignment="1">
      <alignment horizontal="center" vertical="center"/>
    </xf>
    <xf numFmtId="0" fontId="23" fillId="0" borderId="8" xfId="0" applyFont="1" applyBorder="1" applyAlignment="1">
      <alignment horizontal="center" vertical="center"/>
    </xf>
    <xf numFmtId="3" fontId="23" fillId="0" borderId="20" xfId="0" applyNumberFormat="1" applyFont="1" applyBorder="1" applyAlignment="1">
      <alignment vertical="center"/>
    </xf>
    <xf numFmtId="3" fontId="23" fillId="0" borderId="20" xfId="0" applyNumberFormat="1" applyFont="1" applyBorder="1" applyAlignment="1">
      <alignment horizontal="right" vertical="center"/>
    </xf>
    <xf numFmtId="3" fontId="23" fillId="0" borderId="20" xfId="1" applyNumberFormat="1" applyFont="1" applyBorder="1" applyAlignment="1">
      <alignment horizontal="right" vertical="center"/>
    </xf>
    <xf numFmtId="0" fontId="23" fillId="0" borderId="20" xfId="1" applyNumberFormat="1" applyFont="1" applyBorder="1" applyAlignment="1">
      <alignment horizontal="right" vertical="center"/>
    </xf>
    <xf numFmtId="0" fontId="23" fillId="0" borderId="19" xfId="0" applyFont="1" applyBorder="1" applyAlignment="1">
      <alignment horizontal="center" vertical="center"/>
    </xf>
    <xf numFmtId="0" fontId="30" fillId="0" borderId="26" xfId="0" applyFont="1" applyBorder="1" applyAlignment="1">
      <alignment horizontal="center" vertical="center"/>
    </xf>
    <xf numFmtId="0" fontId="32" fillId="0" borderId="32" xfId="9" applyAlignment="1"/>
    <xf numFmtId="0" fontId="32" fillId="0" borderId="32" xfId="9"/>
    <xf numFmtId="0" fontId="5" fillId="5" borderId="9" xfId="0" applyFont="1" applyFill="1" applyBorder="1"/>
    <xf numFmtId="0" fontId="32" fillId="5" borderId="26" xfId="9" applyFill="1" applyBorder="1" applyAlignment="1"/>
    <xf numFmtId="9" fontId="32" fillId="5" borderId="17" xfId="7" applyFont="1" applyFill="1" applyBorder="1" applyAlignment="1"/>
    <xf numFmtId="0" fontId="19" fillId="0" borderId="0" xfId="0" applyFont="1" applyAlignment="1">
      <alignment horizontal="left"/>
    </xf>
    <xf numFmtId="0" fontId="20" fillId="0" borderId="37" xfId="0" applyFont="1" applyBorder="1"/>
    <xf numFmtId="0" fontId="6" fillId="3" borderId="37" xfId="0" applyFont="1" applyFill="1" applyBorder="1"/>
    <xf numFmtId="0" fontId="20" fillId="0" borderId="41" xfId="0" applyFont="1" applyBorder="1"/>
    <xf numFmtId="0" fontId="10" fillId="0" borderId="41" xfId="0" applyFont="1" applyBorder="1"/>
    <xf numFmtId="0" fontId="20" fillId="0" borderId="0" xfId="0" applyFont="1" applyAlignment="1">
      <alignment horizontal="left"/>
    </xf>
    <xf numFmtId="0" fontId="6" fillId="3" borderId="0" xfId="0" applyFont="1" applyFill="1" applyAlignment="1">
      <alignment horizontal="left"/>
    </xf>
    <xf numFmtId="0" fontId="33" fillId="0" borderId="0" xfId="0" applyFont="1"/>
    <xf numFmtId="1" fontId="36" fillId="8" borderId="16" xfId="0" applyNumberFormat="1" applyFont="1" applyFill="1" applyBorder="1" applyAlignment="1">
      <alignment horizontal="center"/>
    </xf>
    <xf numFmtId="0" fontId="18" fillId="11" borderId="20" xfId="10" applyFont="1" applyFill="1" applyBorder="1" applyAlignment="1">
      <alignment horizontal="center" vertical="center"/>
    </xf>
    <xf numFmtId="3" fontId="18" fillId="0" borderId="14" xfId="10" applyNumberFormat="1" applyFont="1" applyBorder="1" applyAlignment="1">
      <alignment horizontal="center" vertical="center"/>
    </xf>
    <xf numFmtId="0" fontId="18" fillId="11" borderId="23" xfId="10" applyFont="1" applyFill="1" applyBorder="1" applyAlignment="1">
      <alignment horizontal="center" vertical="center"/>
    </xf>
    <xf numFmtId="3" fontId="18" fillId="0" borderId="10" xfId="10" applyNumberFormat="1" applyFont="1" applyBorder="1" applyAlignment="1">
      <alignment horizontal="center" vertical="center"/>
    </xf>
    <xf numFmtId="2" fontId="2" fillId="0" borderId="0" xfId="10" applyNumberFormat="1" applyAlignment="1">
      <alignment horizontal="center" vertical="center"/>
    </xf>
    <xf numFmtId="10" fontId="2" fillId="0" borderId="0" xfId="11" applyNumberFormat="1" applyFont="1" applyAlignment="1">
      <alignment horizontal="center" vertical="center"/>
    </xf>
    <xf numFmtId="0" fontId="0" fillId="0" borderId="35" xfId="0" applyBorder="1"/>
    <xf numFmtId="10" fontId="2" fillId="0" borderId="35" xfId="11" applyNumberFormat="1" applyFont="1" applyBorder="1" applyAlignment="1">
      <alignment horizontal="center" vertical="center"/>
    </xf>
    <xf numFmtId="0" fontId="18" fillId="11" borderId="42" xfId="10" applyFont="1" applyFill="1" applyBorder="1" applyAlignment="1">
      <alignment horizontal="center" vertical="center"/>
    </xf>
    <xf numFmtId="10" fontId="37" fillId="0" borderId="43" xfId="12" applyNumberFormat="1" applyFont="1" applyBorder="1" applyAlignment="1">
      <alignment horizontal="center" vertical="center"/>
    </xf>
    <xf numFmtId="49" fontId="9" fillId="0" borderId="0" xfId="0" applyNumberFormat="1" applyFont="1"/>
    <xf numFmtId="0" fontId="23" fillId="0" borderId="45" xfId="0" applyFont="1" applyBorder="1" applyAlignment="1">
      <alignment horizontal="center" vertical="center"/>
    </xf>
    <xf numFmtId="0" fontId="23" fillId="0" borderId="44" xfId="0" applyFont="1" applyBorder="1" applyAlignment="1">
      <alignment horizontal="center" vertical="center"/>
    </xf>
    <xf numFmtId="0" fontId="38" fillId="0" borderId="44" xfId="0" applyFont="1" applyBorder="1" applyAlignment="1">
      <alignment horizontal="center" vertical="center"/>
    </xf>
    <xf numFmtId="0" fontId="38" fillId="0" borderId="45" xfId="0" applyFont="1" applyBorder="1" applyAlignment="1">
      <alignment horizontal="center" vertical="center"/>
    </xf>
    <xf numFmtId="0" fontId="23" fillId="0" borderId="29" xfId="0" applyFont="1" applyBorder="1" applyAlignment="1">
      <alignment horizontal="left" vertical="center"/>
    </xf>
    <xf numFmtId="1" fontId="32" fillId="5" borderId="17" xfId="7" applyNumberFormat="1" applyFont="1" applyFill="1" applyBorder="1" applyAlignment="1"/>
    <xf numFmtId="49" fontId="9" fillId="0" borderId="41" xfId="0" applyNumberFormat="1" applyFont="1" applyBorder="1"/>
    <xf numFmtId="10" fontId="2" fillId="0" borderId="35" xfId="11" applyNumberFormat="1" applyFont="1" applyFill="1" applyBorder="1" applyAlignment="1">
      <alignment horizontal="center" vertical="center"/>
    </xf>
    <xf numFmtId="49" fontId="39" fillId="0" borderId="0" xfId="0" applyNumberFormat="1" applyFont="1"/>
    <xf numFmtId="168" fontId="5" fillId="0" borderId="0" xfId="0" applyNumberFormat="1" applyFont="1"/>
    <xf numFmtId="168" fontId="5" fillId="0" borderId="0" xfId="1" applyNumberFormat="1" applyFont="1"/>
    <xf numFmtId="2" fontId="0" fillId="0" borderId="0" xfId="0" applyNumberFormat="1"/>
    <xf numFmtId="166" fontId="24" fillId="0" borderId="0" xfId="8" applyNumberFormat="1" applyAlignment="1">
      <alignment horizontal="left" vertical="top"/>
    </xf>
    <xf numFmtId="0" fontId="41" fillId="0" borderId="0" xfId="13" applyFont="1"/>
    <xf numFmtId="0" fontId="40" fillId="12" borderId="20" xfId="13" applyFill="1" applyBorder="1"/>
    <xf numFmtId="14" fontId="40" fillId="12" borderId="15" xfId="13" applyNumberFormat="1" applyFill="1" applyBorder="1"/>
    <xf numFmtId="169" fontId="40" fillId="12" borderId="20" xfId="13" applyNumberFormat="1" applyFill="1" applyBorder="1" applyAlignment="1">
      <alignment horizontal="right"/>
    </xf>
    <xf numFmtId="14" fontId="40" fillId="12" borderId="20" xfId="13" applyNumberFormat="1" applyFill="1" applyBorder="1" applyAlignment="1">
      <alignment horizontal="right"/>
    </xf>
    <xf numFmtId="0" fontId="40" fillId="12" borderId="20" xfId="13" applyFill="1" applyBorder="1" applyAlignment="1">
      <alignment horizontal="center"/>
    </xf>
    <xf numFmtId="0" fontId="40" fillId="12" borderId="0" xfId="13" applyFill="1"/>
    <xf numFmtId="0" fontId="40" fillId="12" borderId="20" xfId="13" applyFill="1" applyBorder="1" applyAlignment="1">
      <alignment horizontal="left"/>
    </xf>
    <xf numFmtId="0" fontId="40" fillId="0" borderId="20" xfId="13" applyBorder="1" applyAlignment="1">
      <alignment horizontal="center"/>
    </xf>
    <xf numFmtId="0" fontId="40" fillId="0" borderId="20" xfId="13" applyBorder="1"/>
    <xf numFmtId="0" fontId="40" fillId="0" borderId="0" xfId="13"/>
    <xf numFmtId="14" fontId="40" fillId="0" borderId="15" xfId="13" applyNumberFormat="1" applyBorder="1"/>
    <xf numFmtId="169" fontId="40" fillId="0" borderId="20" xfId="13" applyNumberFormat="1" applyBorder="1" applyAlignment="1">
      <alignment horizontal="right"/>
    </xf>
    <xf numFmtId="14" fontId="40" fillId="0" borderId="20" xfId="13" applyNumberFormat="1" applyBorder="1" applyAlignment="1">
      <alignment horizontal="right"/>
    </xf>
    <xf numFmtId="14" fontId="40" fillId="12" borderId="20" xfId="13" applyNumberFormat="1" applyFill="1" applyBorder="1"/>
    <xf numFmtId="14" fontId="40" fillId="0" borderId="0" xfId="13" applyNumberFormat="1"/>
    <xf numFmtId="169" fontId="40" fillId="0" borderId="0" xfId="13" applyNumberFormat="1" applyAlignment="1">
      <alignment horizontal="right"/>
    </xf>
    <xf numFmtId="14" fontId="40" fillId="0" borderId="0" xfId="13" applyNumberFormat="1" applyAlignment="1">
      <alignment horizontal="right"/>
    </xf>
    <xf numFmtId="0" fontId="40" fillId="0" borderId="0" xfId="13" applyAlignment="1">
      <alignment horizontal="center"/>
    </xf>
    <xf numFmtId="0" fontId="40" fillId="12" borderId="15" xfId="13" applyFill="1" applyBorder="1"/>
    <xf numFmtId="0" fontId="40" fillId="0" borderId="15" xfId="13" applyBorder="1"/>
    <xf numFmtId="0" fontId="40" fillId="12" borderId="13" xfId="13" applyFill="1" applyBorder="1"/>
    <xf numFmtId="0" fontId="42" fillId="0" borderId="13" xfId="13" applyFont="1" applyBorder="1"/>
    <xf numFmtId="0" fontId="42" fillId="12" borderId="13" xfId="13" applyFont="1" applyFill="1" applyBorder="1"/>
    <xf numFmtId="0" fontId="40" fillId="0" borderId="13" xfId="13" applyBorder="1"/>
    <xf numFmtId="0" fontId="41" fillId="0" borderId="11" xfId="13" applyFont="1" applyBorder="1"/>
    <xf numFmtId="14" fontId="41" fillId="0" borderId="11" xfId="13" applyNumberFormat="1" applyFont="1" applyBorder="1" applyAlignment="1">
      <alignment horizontal="center" wrapText="1"/>
    </xf>
    <xf numFmtId="0" fontId="41" fillId="0" borderId="34" xfId="13" applyFont="1" applyBorder="1" applyAlignment="1">
      <alignment horizontal="center"/>
    </xf>
    <xf numFmtId="0" fontId="41" fillId="0" borderId="34" xfId="13" applyFont="1" applyBorder="1" applyAlignment="1">
      <alignment wrapText="1"/>
    </xf>
    <xf numFmtId="0" fontId="41" fillId="0" borderId="34" xfId="13" applyFont="1" applyBorder="1"/>
    <xf numFmtId="169" fontId="41" fillId="0" borderId="34" xfId="13" applyNumberFormat="1" applyFont="1" applyBorder="1" applyAlignment="1">
      <alignment horizontal="right" wrapText="1"/>
    </xf>
    <xf numFmtId="14" fontId="41" fillId="0" borderId="34" xfId="13" applyNumberFormat="1" applyFont="1" applyBorder="1" applyAlignment="1">
      <alignment horizontal="center" wrapText="1"/>
    </xf>
    <xf numFmtId="0" fontId="41" fillId="0" borderId="5" xfId="13" applyFont="1" applyBorder="1"/>
    <xf numFmtId="0" fontId="40" fillId="12" borderId="38" xfId="13" applyFill="1" applyBorder="1"/>
    <xf numFmtId="14" fontId="40" fillId="12" borderId="21" xfId="13" applyNumberFormat="1" applyFill="1" applyBorder="1"/>
    <xf numFmtId="0" fontId="40" fillId="12" borderId="21" xfId="13" applyFill="1" applyBorder="1"/>
    <xf numFmtId="169" fontId="40" fillId="12" borderId="21" xfId="13" applyNumberFormat="1" applyFill="1" applyBorder="1" applyAlignment="1">
      <alignment horizontal="right"/>
    </xf>
    <xf numFmtId="14" fontId="40" fillId="12" borderId="21" xfId="13" applyNumberFormat="1" applyFill="1" applyBorder="1" applyAlignment="1">
      <alignment horizontal="right"/>
    </xf>
    <xf numFmtId="0" fontId="40" fillId="12" borderId="21" xfId="13" applyFill="1" applyBorder="1" applyAlignment="1">
      <alignment horizontal="center"/>
    </xf>
    <xf numFmtId="0" fontId="40" fillId="12" borderId="36" xfId="13" applyFill="1" applyBorder="1"/>
    <xf numFmtId="0" fontId="19" fillId="0" borderId="35" xfId="0" applyFont="1" applyBorder="1"/>
    <xf numFmtId="0" fontId="23" fillId="0" borderId="26" xfId="0" applyFont="1" applyBorder="1" applyAlignment="1">
      <alignment vertical="center"/>
    </xf>
    <xf numFmtId="0" fontId="23" fillId="0" borderId="17" xfId="0" applyFont="1" applyBorder="1" applyAlignment="1">
      <alignment vertical="center"/>
    </xf>
    <xf numFmtId="0" fontId="23" fillId="0" borderId="18" xfId="0" applyFont="1" applyBorder="1" applyAlignment="1">
      <alignment vertical="center"/>
    </xf>
    <xf numFmtId="0" fontId="18" fillId="0" borderId="0" xfId="0" applyFont="1"/>
    <xf numFmtId="0" fontId="43" fillId="0" borderId="0" xfId="14"/>
    <xf numFmtId="0" fontId="44" fillId="0" borderId="48" xfId="15">
      <alignment wrapText="1"/>
    </xf>
    <xf numFmtId="0" fontId="21" fillId="13" borderId="25" xfId="0" applyFont="1" applyFill="1" applyBorder="1"/>
    <xf numFmtId="0" fontId="21" fillId="13" borderId="24" xfId="0" applyFont="1" applyFill="1" applyBorder="1"/>
    <xf numFmtId="0" fontId="45" fillId="0" borderId="0" xfId="0" applyFont="1"/>
    <xf numFmtId="0" fontId="11" fillId="13" borderId="24" xfId="5" applyFill="1" applyBorder="1"/>
    <xf numFmtId="0" fontId="0" fillId="13" borderId="44" xfId="0" applyFill="1" applyBorder="1"/>
    <xf numFmtId="0" fontId="46" fillId="0" borderId="0" xfId="0" applyFont="1"/>
    <xf numFmtId="0" fontId="47" fillId="0" borderId="0" xfId="16">
      <alignment horizontal="left"/>
    </xf>
    <xf numFmtId="0" fontId="48" fillId="0" borderId="0" xfId="0" applyFont="1" applyAlignment="1">
      <alignment horizontal="right"/>
    </xf>
    <xf numFmtId="0" fontId="0" fillId="0" borderId="0" xfId="0" applyAlignment="1">
      <alignment horizontal="left"/>
    </xf>
    <xf numFmtId="10" fontId="0" fillId="0" borderId="0" xfId="0" applyNumberFormat="1"/>
    <xf numFmtId="0" fontId="11" fillId="0" borderId="0" xfId="5"/>
    <xf numFmtId="0" fontId="5" fillId="5" borderId="8" xfId="0" applyFont="1" applyFill="1" applyBorder="1"/>
    <xf numFmtId="1" fontId="32" fillId="5" borderId="18" xfId="7" applyNumberFormat="1" applyFont="1" applyFill="1" applyBorder="1" applyAlignment="1"/>
    <xf numFmtId="0" fontId="5" fillId="5" borderId="35" xfId="0" applyFont="1" applyFill="1" applyBorder="1"/>
    <xf numFmtId="168" fontId="5" fillId="0" borderId="0" xfId="1" applyNumberFormat="1" applyFont="1" applyFill="1" applyBorder="1"/>
    <xf numFmtId="0" fontId="5" fillId="5" borderId="26" xfId="0" applyFont="1" applyFill="1" applyBorder="1"/>
    <xf numFmtId="0" fontId="5" fillId="5" borderId="17" xfId="0" applyFont="1" applyFill="1" applyBorder="1"/>
    <xf numFmtId="0" fontId="5" fillId="5" borderId="53" xfId="0" applyFont="1" applyFill="1" applyBorder="1"/>
    <xf numFmtId="172" fontId="5" fillId="5" borderId="23" xfId="0" applyNumberFormat="1" applyFont="1" applyFill="1" applyBorder="1"/>
    <xf numFmtId="172" fontId="5" fillId="5" borderId="10" xfId="0" applyNumberFormat="1" applyFont="1" applyFill="1" applyBorder="1"/>
    <xf numFmtId="43" fontId="5" fillId="5" borderId="35" xfId="1" applyFont="1" applyFill="1" applyBorder="1"/>
    <xf numFmtId="43" fontId="5" fillId="5" borderId="45" xfId="1" applyFont="1" applyFill="1" applyBorder="1"/>
    <xf numFmtId="43" fontId="5" fillId="5" borderId="17" xfId="1" applyFont="1" applyFill="1" applyBorder="1"/>
    <xf numFmtId="43" fontId="5" fillId="5" borderId="18" xfId="1" applyFont="1" applyFill="1" applyBorder="1"/>
    <xf numFmtId="43" fontId="5" fillId="0" borderId="0" xfId="1" applyFont="1" applyFill="1" applyBorder="1"/>
    <xf numFmtId="1" fontId="6" fillId="3" borderId="0" xfId="0" applyNumberFormat="1" applyFont="1" applyFill="1"/>
    <xf numFmtId="167" fontId="6" fillId="3" borderId="0" xfId="0" applyNumberFormat="1" applyFont="1" applyFill="1"/>
    <xf numFmtId="44" fontId="6" fillId="3" borderId="0" xfId="2" applyFont="1" applyFill="1" applyBorder="1"/>
    <xf numFmtId="167" fontId="6" fillId="3" borderId="37" xfId="0" applyNumberFormat="1" applyFont="1" applyFill="1" applyBorder="1"/>
    <xf numFmtId="0" fontId="19" fillId="0" borderId="37" xfId="0" applyFont="1" applyBorder="1"/>
    <xf numFmtId="0" fontId="8" fillId="0" borderId="0" xfId="3" applyFont="1" applyBorder="1" applyAlignment="1">
      <alignment horizontal="center"/>
    </xf>
    <xf numFmtId="2" fontId="49" fillId="0" borderId="18" xfId="0" applyNumberFormat="1" applyFont="1" applyBorder="1"/>
    <xf numFmtId="2" fontId="49" fillId="0" borderId="0" xfId="0" applyNumberFormat="1" applyFont="1"/>
    <xf numFmtId="0" fontId="50" fillId="0" borderId="0" xfId="3" applyFont="1" applyBorder="1"/>
    <xf numFmtId="0" fontId="25" fillId="7" borderId="31" xfId="0" applyFont="1" applyFill="1" applyBorder="1" applyAlignment="1">
      <alignment horizontal="center" vertical="center" wrapText="1"/>
    </xf>
    <xf numFmtId="0" fontId="23" fillId="0" borderId="13" xfId="0" applyFont="1" applyBorder="1" applyAlignment="1">
      <alignment horizontal="right" vertical="center"/>
    </xf>
    <xf numFmtId="0" fontId="29" fillId="0" borderId="13" xfId="0" applyFont="1" applyBorder="1" applyAlignment="1">
      <alignment horizontal="right" vertical="center"/>
    </xf>
    <xf numFmtId="3" fontId="0" fillId="0" borderId="13" xfId="0" applyNumberFormat="1" applyBorder="1" applyAlignment="1">
      <alignment horizontal="right"/>
    </xf>
    <xf numFmtId="3" fontId="23" fillId="0" borderId="13" xfId="0" applyNumberFormat="1" applyFont="1" applyBorder="1" applyAlignment="1">
      <alignment horizontal="right"/>
    </xf>
    <xf numFmtId="0" fontId="23" fillId="0" borderId="13" xfId="0" applyFont="1" applyBorder="1" applyAlignment="1">
      <alignment horizontal="center" vertical="center"/>
    </xf>
    <xf numFmtId="0" fontId="23" fillId="0" borderId="15" xfId="0" applyFont="1" applyBorder="1" applyAlignment="1">
      <alignment vertical="center"/>
    </xf>
    <xf numFmtId="0" fontId="26" fillId="0" borderId="54" xfId="0" applyFont="1" applyBorder="1" applyAlignment="1">
      <alignment horizontal="center" vertical="center"/>
    </xf>
    <xf numFmtId="0" fontId="25" fillId="0" borderId="54" xfId="0" applyFont="1" applyBorder="1" applyAlignment="1">
      <alignment horizontal="center" vertical="center" wrapText="1"/>
    </xf>
    <xf numFmtId="0" fontId="23" fillId="0" borderId="54" xfId="0" applyFont="1" applyBorder="1" applyAlignment="1">
      <alignment horizontal="right" vertical="center"/>
    </xf>
    <xf numFmtId="0" fontId="29" fillId="0" borderId="54" xfId="0" applyFont="1" applyBorder="1" applyAlignment="1">
      <alignment horizontal="right" vertical="center"/>
    </xf>
    <xf numFmtId="3" fontId="0" fillId="0" borderId="54" xfId="0" applyNumberFormat="1" applyBorder="1" applyAlignment="1">
      <alignment horizontal="right"/>
    </xf>
    <xf numFmtId="3" fontId="23" fillId="0" borderId="54" xfId="0" applyNumberFormat="1" applyFont="1" applyBorder="1" applyAlignment="1">
      <alignment horizontal="right"/>
    </xf>
    <xf numFmtId="0" fontId="23" fillId="0" borderId="54" xfId="0" applyFont="1" applyBorder="1" applyAlignment="1">
      <alignment horizontal="center" vertical="center"/>
    </xf>
    <xf numFmtId="175" fontId="30" fillId="0" borderId="13" xfId="0" applyNumberFormat="1" applyFont="1" applyBorder="1" applyAlignment="1">
      <alignment vertical="center"/>
    </xf>
    <xf numFmtId="175" fontId="30" fillId="0" borderId="54" xfId="0" applyNumberFormat="1" applyFont="1" applyBorder="1" applyAlignment="1">
      <alignment vertical="center"/>
    </xf>
    <xf numFmtId="175" fontId="30" fillId="0" borderId="15" xfId="0" applyNumberFormat="1" applyFont="1" applyBorder="1" applyAlignment="1">
      <alignment vertical="center"/>
    </xf>
    <xf numFmtId="175" fontId="30" fillId="0" borderId="20" xfId="0" applyNumberFormat="1" applyFont="1" applyBorder="1" applyAlignment="1">
      <alignment vertical="center"/>
    </xf>
    <xf numFmtId="0" fontId="25" fillId="7" borderId="0" xfId="0" applyFont="1" applyFill="1" applyAlignment="1">
      <alignment horizontal="center" vertical="center"/>
    </xf>
    <xf numFmtId="0" fontId="23" fillId="0" borderId="13" xfId="0" applyFont="1" applyBorder="1" applyAlignment="1">
      <alignment vertical="center"/>
    </xf>
    <xf numFmtId="3" fontId="23" fillId="0" borderId="13" xfId="0" applyNumberFormat="1" applyFont="1" applyBorder="1" applyAlignment="1">
      <alignment vertical="center"/>
    </xf>
    <xf numFmtId="168" fontId="23" fillId="0" borderId="13" xfId="1" applyNumberFormat="1" applyFont="1" applyBorder="1" applyAlignment="1">
      <alignment vertical="center"/>
    </xf>
    <xf numFmtId="3" fontId="23" fillId="0" borderId="13" xfId="0" applyNumberFormat="1" applyFont="1" applyBorder="1" applyAlignment="1">
      <alignment horizontal="right" vertical="center"/>
    </xf>
    <xf numFmtId="3" fontId="23" fillId="0" borderId="13" xfId="1" applyNumberFormat="1" applyFont="1" applyBorder="1" applyAlignment="1">
      <alignment horizontal="right" vertical="center"/>
    </xf>
    <xf numFmtId="0" fontId="23" fillId="0" borderId="13" xfId="1" applyNumberFormat="1" applyFont="1" applyBorder="1" applyAlignment="1">
      <alignment horizontal="right" vertical="center"/>
    </xf>
    <xf numFmtId="0" fontId="25" fillId="7" borderId="25" xfId="0" applyFont="1" applyFill="1" applyBorder="1" applyAlignment="1">
      <alignment horizontal="center" vertical="center"/>
    </xf>
    <xf numFmtId="175" fontId="31" fillId="0" borderId="56" xfId="0" applyNumberFormat="1" applyFont="1" applyBorder="1" applyAlignment="1">
      <alignment vertical="center"/>
    </xf>
    <xf numFmtId="168" fontId="28" fillId="0" borderId="55" xfId="1" applyNumberFormat="1" applyFont="1" applyBorder="1" applyAlignment="1">
      <alignment vertical="center"/>
    </xf>
    <xf numFmtId="0" fontId="6" fillId="6" borderId="0" xfId="0" applyFont="1" applyFill="1"/>
    <xf numFmtId="167" fontId="0" fillId="0" borderId="0" xfId="0" applyNumberFormat="1"/>
    <xf numFmtId="168" fontId="23" fillId="0" borderId="13" xfId="1" applyNumberFormat="1" applyFont="1" applyBorder="1" applyAlignment="1">
      <alignment horizontal="right" vertical="center"/>
    </xf>
    <xf numFmtId="168" fontId="28" fillId="0" borderId="55" xfId="1" applyNumberFormat="1" applyFont="1" applyFill="1" applyBorder="1" applyAlignment="1">
      <alignment vertical="center"/>
    </xf>
    <xf numFmtId="0" fontId="19" fillId="0" borderId="57" xfId="0" applyFont="1" applyBorder="1" applyAlignment="1">
      <alignment horizontal="right"/>
    </xf>
    <xf numFmtId="168" fontId="6" fillId="3" borderId="41" xfId="1" applyNumberFormat="1" applyFont="1" applyFill="1" applyBorder="1"/>
    <xf numFmtId="49" fontId="20" fillId="0" borderId="0" xfId="0" applyNumberFormat="1" applyFont="1"/>
    <xf numFmtId="0" fontId="20" fillId="4" borderId="0" xfId="0" applyFont="1" applyFill="1"/>
    <xf numFmtId="49" fontId="20" fillId="0" borderId="41" xfId="0" applyNumberFormat="1" applyFont="1" applyBorder="1"/>
    <xf numFmtId="8" fontId="10" fillId="0" borderId="0" xfId="7" applyNumberFormat="1" applyFont="1" applyFill="1" applyBorder="1"/>
    <xf numFmtId="10" fontId="10" fillId="0" borderId="0" xfId="7" applyNumberFormat="1" applyFont="1" applyFill="1" applyBorder="1"/>
    <xf numFmtId="167" fontId="6" fillId="0" borderId="0" xfId="0" applyNumberFormat="1" applyFont="1"/>
    <xf numFmtId="49" fontId="9" fillId="0" borderId="37" xfId="0" applyNumberFormat="1" applyFont="1" applyBorder="1"/>
    <xf numFmtId="44" fontId="6" fillId="0" borderId="0" xfId="2" applyFont="1" applyFill="1" applyBorder="1"/>
    <xf numFmtId="0" fontId="9" fillId="0" borderId="37" xfId="0" applyFont="1" applyBorder="1"/>
    <xf numFmtId="0" fontId="5" fillId="0" borderId="37" xfId="0" applyFont="1" applyBorder="1"/>
    <xf numFmtId="0" fontId="51" fillId="0" borderId="0" xfId="0" applyFont="1"/>
    <xf numFmtId="0" fontId="5" fillId="0" borderId="26" xfId="0" applyFont="1" applyBorder="1"/>
    <xf numFmtId="2" fontId="5" fillId="0" borderId="18" xfId="0" applyNumberFormat="1" applyFont="1" applyBorder="1"/>
    <xf numFmtId="168" fontId="0" fillId="0" borderId="0" xfId="1" applyNumberFormat="1" applyFont="1"/>
    <xf numFmtId="10" fontId="0" fillId="0" borderId="0" xfId="7" applyNumberFormat="1" applyFont="1"/>
    <xf numFmtId="168" fontId="40" fillId="0" borderId="0" xfId="1" applyNumberFormat="1" applyFont="1" applyAlignment="1">
      <alignment horizontal="right"/>
    </xf>
    <xf numFmtId="0" fontId="52" fillId="0" borderId="0" xfId="3" applyFont="1" applyBorder="1"/>
    <xf numFmtId="0" fontId="53" fillId="14" borderId="0" xfId="0" applyFont="1" applyFill="1"/>
    <xf numFmtId="0" fontId="53" fillId="14" borderId="0" xfId="4" applyFont="1" applyFill="1"/>
    <xf numFmtId="0" fontId="15" fillId="0" borderId="0" xfId="0" applyFont="1"/>
    <xf numFmtId="0" fontId="13" fillId="0" borderId="0" xfId="0" applyFont="1"/>
    <xf numFmtId="0" fontId="54" fillId="15" borderId="59" xfId="9" applyFont="1" applyFill="1" applyBorder="1" applyAlignment="1">
      <alignment horizontal="center" vertical="center" wrapText="1"/>
    </xf>
    <xf numFmtId="9" fontId="54" fillId="15" borderId="58" xfId="7" applyFont="1" applyFill="1" applyBorder="1" applyAlignment="1">
      <alignment horizontal="center" vertical="center" wrapText="1"/>
    </xf>
    <xf numFmtId="9" fontId="54" fillId="15" borderId="60" xfId="7" applyFont="1" applyFill="1" applyBorder="1" applyAlignment="1">
      <alignment horizontal="center" vertical="center" wrapText="1"/>
    </xf>
    <xf numFmtId="0" fontId="14" fillId="0" borderId="36" xfId="0" applyFont="1" applyBorder="1"/>
    <xf numFmtId="172" fontId="14" fillId="0" borderId="36" xfId="0" applyNumberFormat="1" applyFont="1" applyBorder="1"/>
    <xf numFmtId="172" fontId="14" fillId="0" borderId="21" xfId="0" applyNumberFormat="1" applyFont="1" applyBorder="1"/>
    <xf numFmtId="172" fontId="14" fillId="0" borderId="36" xfId="1" applyNumberFormat="1" applyFont="1" applyBorder="1"/>
    <xf numFmtId="172" fontId="14" fillId="0" borderId="21" xfId="1" applyNumberFormat="1" applyFont="1" applyBorder="1"/>
    <xf numFmtId="43" fontId="14" fillId="0" borderId="36" xfId="0" applyNumberFormat="1" applyFont="1" applyBorder="1"/>
    <xf numFmtId="43" fontId="14" fillId="0" borderId="21" xfId="0" applyNumberFormat="1" applyFont="1" applyBorder="1"/>
    <xf numFmtId="0" fontId="14" fillId="0" borderId="13" xfId="0" applyFont="1" applyBorder="1"/>
    <xf numFmtId="0" fontId="55" fillId="0" borderId="0" xfId="0" applyFont="1"/>
    <xf numFmtId="0" fontId="55" fillId="0" borderId="0" xfId="0" applyFont="1" applyAlignment="1">
      <alignment horizontal="left" vertical="center" wrapText="1"/>
    </xf>
    <xf numFmtId="0" fontId="14" fillId="0" borderId="20" xfId="0" applyFont="1" applyBorder="1"/>
    <xf numFmtId="0" fontId="13" fillId="0" borderId="20" xfId="0" applyFont="1" applyBorder="1"/>
    <xf numFmtId="167" fontId="13" fillId="0" borderId="20" xfId="0" applyNumberFormat="1" applyFont="1" applyBorder="1"/>
    <xf numFmtId="172" fontId="13" fillId="0" borderId="20" xfId="1" applyNumberFormat="1" applyFont="1" applyBorder="1"/>
    <xf numFmtId="2" fontId="14" fillId="0" borderId="20" xfId="0" applyNumberFormat="1" applyFont="1" applyBorder="1"/>
    <xf numFmtId="165" fontId="14" fillId="0" borderId="20" xfId="2" applyNumberFormat="1" applyFont="1" applyBorder="1"/>
    <xf numFmtId="2" fontId="10" fillId="3" borderId="41" xfId="0" applyNumberFormat="1" applyFont="1" applyFill="1" applyBorder="1"/>
    <xf numFmtId="170" fontId="6" fillId="3" borderId="37" xfId="0" applyNumberFormat="1" applyFont="1" applyFill="1" applyBorder="1"/>
    <xf numFmtId="168" fontId="10" fillId="0" borderId="0" xfId="1" applyNumberFormat="1" applyFont="1" applyFill="1" applyBorder="1"/>
    <xf numFmtId="2" fontId="6" fillId="3" borderId="37" xfId="0" applyNumberFormat="1" applyFont="1" applyFill="1" applyBorder="1"/>
    <xf numFmtId="9" fontId="6" fillId="6" borderId="0" xfId="0" applyNumberFormat="1" applyFont="1" applyFill="1"/>
    <xf numFmtId="0" fontId="57" fillId="6" borderId="0" xfId="0" applyFont="1" applyFill="1"/>
    <xf numFmtId="0" fontId="6" fillId="6" borderId="40" xfId="0" applyFont="1" applyFill="1" applyBorder="1"/>
    <xf numFmtId="0" fontId="6" fillId="6" borderId="41" xfId="0" applyFont="1" applyFill="1" applyBorder="1"/>
    <xf numFmtId="0" fontId="57" fillId="6" borderId="41" xfId="0" applyFont="1" applyFill="1" applyBorder="1"/>
    <xf numFmtId="9" fontId="6" fillId="6" borderId="41" xfId="0" applyNumberFormat="1" applyFont="1" applyFill="1" applyBorder="1"/>
    <xf numFmtId="0" fontId="6" fillId="6" borderId="11" xfId="0" applyFont="1" applyFill="1" applyBorder="1"/>
    <xf numFmtId="2" fontId="6" fillId="3" borderId="0" xfId="0" applyNumberFormat="1" applyFont="1" applyFill="1"/>
    <xf numFmtId="167" fontId="10" fillId="0" borderId="0" xfId="0" applyNumberFormat="1" applyFont="1"/>
    <xf numFmtId="0" fontId="0" fillId="0" borderId="0" xfId="0" applyAlignment="1">
      <alignment wrapText="1"/>
    </xf>
    <xf numFmtId="0" fontId="54" fillId="15" borderId="0" xfId="9" applyFont="1" applyFill="1" applyBorder="1" applyAlignment="1">
      <alignment vertical="center" wrapText="1"/>
    </xf>
    <xf numFmtId="0" fontId="14" fillId="0" borderId="20" xfId="0" applyFont="1" applyBorder="1" applyAlignment="1">
      <alignment horizontal="left" vertical="center"/>
    </xf>
    <xf numFmtId="0" fontId="55" fillId="0" borderId="0" xfId="0" applyFont="1" applyAlignment="1">
      <alignment vertical="center" wrapText="1"/>
    </xf>
    <xf numFmtId="170" fontId="14" fillId="0" borderId="20" xfId="7" applyNumberFormat="1" applyFont="1" applyBorder="1"/>
    <xf numFmtId="44" fontId="14" fillId="0" borderId="20" xfId="2" applyFont="1" applyBorder="1"/>
    <xf numFmtId="0" fontId="14" fillId="0" borderId="20" xfId="0" applyFont="1" applyBorder="1" applyAlignment="1">
      <alignment wrapText="1"/>
    </xf>
    <xf numFmtId="167" fontId="14" fillId="0" borderId="20" xfId="0" applyNumberFormat="1" applyFont="1" applyBorder="1"/>
    <xf numFmtId="0" fontId="54" fillId="15" borderId="20" xfId="0" applyFont="1" applyFill="1" applyBorder="1" applyAlignment="1">
      <alignment horizontal="center" vertical="center" wrapText="1"/>
    </xf>
    <xf numFmtId="0" fontId="55" fillId="0" borderId="20" xfId="0" applyFont="1" applyBorder="1" applyAlignment="1">
      <alignment horizontal="left" vertical="center" wrapText="1"/>
    </xf>
    <xf numFmtId="44" fontId="55" fillId="0" borderId="20" xfId="2" applyFont="1" applyBorder="1" applyAlignment="1">
      <alignment horizontal="left" vertical="top" wrapText="1"/>
    </xf>
    <xf numFmtId="176" fontId="59" fillId="0" borderId="20" xfId="0" applyNumberFormat="1" applyFont="1" applyBorder="1"/>
    <xf numFmtId="0" fontId="54" fillId="15" borderId="20" xfId="9" applyFont="1" applyFill="1" applyBorder="1" applyAlignment="1">
      <alignment horizontal="center" vertical="center" wrapText="1"/>
    </xf>
    <xf numFmtId="9" fontId="54" fillId="15" borderId="20" xfId="7" applyFont="1" applyFill="1" applyBorder="1" applyAlignment="1">
      <alignment horizontal="center" vertical="center" wrapText="1"/>
    </xf>
    <xf numFmtId="0" fontId="58" fillId="0" borderId="20" xfId="0" applyFont="1" applyBorder="1" applyAlignment="1">
      <alignment vertical="center"/>
    </xf>
    <xf numFmtId="0" fontId="58" fillId="0" borderId="20" xfId="0" applyFont="1" applyBorder="1" applyAlignment="1">
      <alignment horizontal="center" vertical="center"/>
    </xf>
    <xf numFmtId="0" fontId="0" fillId="0" borderId="20" xfId="0" applyBorder="1"/>
    <xf numFmtId="0" fontId="0" fillId="0" borderId="20" xfId="0" applyBorder="1" applyAlignment="1">
      <alignment wrapText="1"/>
    </xf>
    <xf numFmtId="0" fontId="23" fillId="0" borderId="20" xfId="0" applyFont="1" applyBorder="1" applyAlignment="1">
      <alignment horizontal="center" vertical="center"/>
    </xf>
    <xf numFmtId="0" fontId="55" fillId="0" borderId="20" xfId="0" applyFont="1" applyBorder="1" applyAlignment="1">
      <alignment horizontal="center" vertical="center"/>
    </xf>
    <xf numFmtId="0" fontId="54" fillId="16" borderId="20" xfId="0" applyFont="1" applyFill="1" applyBorder="1" applyAlignment="1">
      <alignment horizontal="center" vertical="center"/>
    </xf>
    <xf numFmtId="10" fontId="14" fillId="0" borderId="20" xfId="7" applyNumberFormat="1" applyFont="1" applyBorder="1" applyAlignment="1">
      <alignment wrapText="1"/>
    </xf>
    <xf numFmtId="44" fontId="14" fillId="0" borderId="20" xfId="2" applyFont="1" applyBorder="1" applyAlignment="1">
      <alignment wrapText="1"/>
    </xf>
    <xf numFmtId="165" fontId="14" fillId="0" borderId="20" xfId="2" applyNumberFormat="1" applyFont="1" applyBorder="1" applyAlignment="1">
      <alignment wrapText="1"/>
    </xf>
    <xf numFmtId="44" fontId="5" fillId="5" borderId="23" xfId="2" applyFont="1" applyFill="1" applyBorder="1"/>
    <xf numFmtId="44" fontId="5" fillId="5" borderId="10" xfId="2" applyFont="1" applyFill="1" applyBorder="1"/>
    <xf numFmtId="2" fontId="14" fillId="0" borderId="20" xfId="0" applyNumberFormat="1" applyFont="1" applyBorder="1" applyAlignment="1">
      <alignment wrapText="1"/>
    </xf>
    <xf numFmtId="0" fontId="30" fillId="0" borderId="0" xfId="0" applyFont="1" applyAlignment="1">
      <alignment horizontal="center" vertical="center"/>
    </xf>
    <xf numFmtId="175" fontId="30" fillId="0" borderId="0" xfId="0" applyNumberFormat="1" applyFont="1" applyAlignment="1">
      <alignment vertical="center"/>
    </xf>
    <xf numFmtId="175" fontId="31" fillId="0" borderId="0" xfId="0" applyNumberFormat="1" applyFont="1" applyAlignment="1">
      <alignment vertical="center"/>
    </xf>
    <xf numFmtId="170" fontId="0" fillId="6" borderId="0" xfId="7" applyNumberFormat="1" applyFont="1" applyFill="1"/>
    <xf numFmtId="0" fontId="5" fillId="0" borderId="36" xfId="0" applyFont="1" applyBorder="1"/>
    <xf numFmtId="0" fontId="6" fillId="6" borderId="39" xfId="0" applyFont="1" applyFill="1" applyBorder="1"/>
    <xf numFmtId="0" fontId="55" fillId="0" borderId="29" xfId="0" applyFont="1" applyBorder="1"/>
    <xf numFmtId="0" fontId="0" fillId="12" borderId="0" xfId="0" applyFill="1"/>
    <xf numFmtId="0" fontId="68" fillId="9" borderId="36" xfId="0" applyFont="1" applyFill="1" applyBorder="1"/>
    <xf numFmtId="0" fontId="0" fillId="9" borderId="37" xfId="0" applyFill="1" applyBorder="1"/>
    <xf numFmtId="0" fontId="0" fillId="0" borderId="37" xfId="0" applyBorder="1"/>
    <xf numFmtId="0" fontId="0" fillId="0" borderId="38" xfId="0" applyBorder="1"/>
    <xf numFmtId="0" fontId="0" fillId="0" borderId="40" xfId="0" applyBorder="1"/>
    <xf numFmtId="0" fontId="11" fillId="0" borderId="39" xfId="5" applyBorder="1" applyAlignment="1"/>
    <xf numFmtId="0" fontId="0" fillId="0" borderId="39" xfId="0" applyBorder="1"/>
    <xf numFmtId="0" fontId="64" fillId="0" borderId="39" xfId="0" applyFont="1" applyBorder="1"/>
    <xf numFmtId="0" fontId="55" fillId="0" borderId="39" xfId="0" applyFont="1" applyBorder="1"/>
    <xf numFmtId="0" fontId="17" fillId="15" borderId="20" xfId="0" applyFont="1" applyFill="1" applyBorder="1" applyAlignment="1">
      <alignment wrapText="1"/>
    </xf>
    <xf numFmtId="0" fontId="61" fillId="0" borderId="20" xfId="0" applyFont="1" applyBorder="1" applyAlignment="1">
      <alignment vertical="center" wrapText="1"/>
    </xf>
    <xf numFmtId="6" fontId="61" fillId="0" borderId="20" xfId="0" applyNumberFormat="1" applyFont="1" applyBorder="1" applyAlignment="1">
      <alignment horizontal="right" vertical="center" wrapText="1"/>
    </xf>
    <xf numFmtId="0" fontId="55" fillId="0" borderId="20" xfId="0" applyFont="1" applyBorder="1"/>
    <xf numFmtId="169" fontId="61" fillId="0" borderId="20" xfId="0" applyNumberFormat="1" applyFont="1" applyBorder="1"/>
    <xf numFmtId="0" fontId="0" fillId="9" borderId="38" xfId="0" applyFill="1" applyBorder="1"/>
    <xf numFmtId="0" fontId="55" fillId="0" borderId="40" xfId="0" applyFont="1" applyBorder="1"/>
    <xf numFmtId="0" fontId="55" fillId="0" borderId="36" xfId="0" applyFont="1" applyBorder="1"/>
    <xf numFmtId="0" fontId="55" fillId="0" borderId="38" xfId="0" applyFont="1" applyBorder="1"/>
    <xf numFmtId="0" fontId="69" fillId="16" borderId="20" xfId="0" applyFont="1" applyFill="1" applyBorder="1" applyAlignment="1">
      <alignment vertical="center" wrapText="1"/>
    </xf>
    <xf numFmtId="0" fontId="69" fillId="16" borderId="20" xfId="0" applyFont="1" applyFill="1" applyBorder="1" applyAlignment="1">
      <alignment horizontal="right" vertical="center" wrapText="1"/>
    </xf>
    <xf numFmtId="2" fontId="61" fillId="0" borderId="20" xfId="0" applyNumberFormat="1" applyFont="1" applyBorder="1" applyAlignment="1">
      <alignment horizontal="right" vertical="center" wrapText="1"/>
    </xf>
    <xf numFmtId="8" fontId="61" fillId="0" borderId="20" xfId="0" applyNumberFormat="1" applyFont="1" applyBorder="1" applyAlignment="1">
      <alignment horizontal="right" vertical="center" wrapText="1"/>
    </xf>
    <xf numFmtId="0" fontId="69" fillId="16" borderId="20" xfId="0" applyFont="1" applyFill="1" applyBorder="1" applyAlignment="1">
      <alignment vertical="center"/>
    </xf>
    <xf numFmtId="0" fontId="61" fillId="0" borderId="36" xfId="0" applyFont="1" applyBorder="1" applyAlignment="1">
      <alignment vertical="center" wrapText="1"/>
    </xf>
    <xf numFmtId="6" fontId="61" fillId="0" borderId="37" xfId="0" applyNumberFormat="1" applyFont="1" applyBorder="1" applyAlignment="1">
      <alignment horizontal="right" vertical="center" wrapText="1"/>
    </xf>
    <xf numFmtId="6" fontId="61" fillId="0" borderId="38" xfId="0" applyNumberFormat="1" applyFont="1" applyBorder="1" applyAlignment="1">
      <alignment horizontal="right" vertical="center" wrapText="1"/>
    </xf>
    <xf numFmtId="0" fontId="61" fillId="0" borderId="20" xfId="0" applyFont="1" applyBorder="1" applyAlignment="1">
      <alignment horizontal="left" vertical="center" wrapText="1"/>
    </xf>
    <xf numFmtId="0" fontId="61" fillId="0" borderId="20" xfId="0" applyFont="1" applyBorder="1" applyAlignment="1">
      <alignment vertical="top"/>
    </xf>
    <xf numFmtId="0" fontId="61" fillId="0" borderId="20" xfId="0" applyFont="1" applyBorder="1" applyAlignment="1">
      <alignment vertical="top" wrapText="1"/>
    </xf>
    <xf numFmtId="177" fontId="61" fillId="0" borderId="20" xfId="0" applyNumberFormat="1" applyFont="1" applyBorder="1"/>
    <xf numFmtId="0" fontId="61" fillId="0" borderId="39" xfId="0" applyFont="1" applyBorder="1"/>
    <xf numFmtId="0" fontId="61" fillId="0" borderId="29" xfId="0" applyFont="1" applyBorder="1"/>
    <xf numFmtId="0" fontId="61" fillId="0" borderId="20" xfId="0" applyFont="1" applyBorder="1" applyAlignment="1">
      <alignment vertical="center"/>
    </xf>
    <xf numFmtId="8" fontId="61" fillId="0" borderId="20" xfId="0" applyNumberFormat="1" applyFont="1" applyBorder="1" applyAlignment="1">
      <alignment horizontal="right" vertical="center"/>
    </xf>
    <xf numFmtId="0" fontId="61" fillId="0" borderId="20" xfId="0" applyFont="1" applyBorder="1" applyAlignment="1">
      <alignment horizontal="right" vertical="center"/>
    </xf>
    <xf numFmtId="0" fontId="0" fillId="0" borderId="36" xfId="0" applyBorder="1"/>
    <xf numFmtId="0" fontId="69" fillId="16" borderId="20" xfId="0" applyFont="1" applyFill="1" applyBorder="1" applyAlignment="1">
      <alignment horizontal="right" vertical="top" wrapText="1"/>
    </xf>
    <xf numFmtId="178" fontId="61" fillId="0" borderId="20" xfId="0" applyNumberFormat="1" applyFont="1" applyBorder="1" applyAlignment="1">
      <alignment horizontal="right" vertical="center" wrapText="1"/>
    </xf>
    <xf numFmtId="179" fontId="61" fillId="0" borderId="20" xfId="0" applyNumberFormat="1" applyFont="1" applyBorder="1" applyAlignment="1">
      <alignment horizontal="right" vertical="center" wrapText="1"/>
    </xf>
    <xf numFmtId="175" fontId="61" fillId="0" borderId="20" xfId="0" applyNumberFormat="1" applyFont="1" applyBorder="1"/>
    <xf numFmtId="169" fontId="61" fillId="0" borderId="20" xfId="0" applyNumberFormat="1" applyFont="1" applyBorder="1" applyAlignment="1">
      <alignment horizontal="right"/>
    </xf>
    <xf numFmtId="0" fontId="55" fillId="18" borderId="0" xfId="0" applyFont="1" applyFill="1"/>
    <xf numFmtId="0" fontId="55" fillId="18" borderId="38" xfId="0" applyFont="1" applyFill="1" applyBorder="1"/>
    <xf numFmtId="0" fontId="55" fillId="18" borderId="40" xfId="0" applyFont="1" applyFill="1" applyBorder="1"/>
    <xf numFmtId="0" fontId="55" fillId="18" borderId="11" xfId="0" applyFont="1" applyFill="1" applyBorder="1"/>
    <xf numFmtId="0" fontId="0" fillId="17" borderId="62" xfId="20" applyFont="1"/>
    <xf numFmtId="44" fontId="10" fillId="0" borderId="0" xfId="2" applyFont="1" applyFill="1" applyBorder="1"/>
    <xf numFmtId="170" fontId="6" fillId="3" borderId="0" xfId="0" applyNumberFormat="1" applyFont="1" applyFill="1"/>
    <xf numFmtId="165" fontId="10" fillId="0" borderId="0" xfId="2" applyNumberFormat="1" applyFont="1" applyFill="1" applyBorder="1"/>
    <xf numFmtId="170" fontId="32" fillId="5" borderId="18" xfId="7" applyNumberFormat="1" applyFont="1" applyFill="1" applyBorder="1" applyAlignment="1"/>
    <xf numFmtId="0" fontId="0" fillId="0" borderId="0" xfId="0" applyAlignment="1">
      <alignment horizontal="right"/>
    </xf>
    <xf numFmtId="6" fontId="0" fillId="0" borderId="0" xfId="0" applyNumberFormat="1" applyAlignment="1">
      <alignment horizontal="left"/>
    </xf>
    <xf numFmtId="165" fontId="0" fillId="0" borderId="0" xfId="2" applyNumberFormat="1" applyFont="1"/>
    <xf numFmtId="165" fontId="0" fillId="0" borderId="0" xfId="0" applyNumberFormat="1"/>
    <xf numFmtId="0" fontId="5" fillId="0" borderId="37" xfId="0" quotePrefix="1" applyFont="1" applyBorder="1"/>
    <xf numFmtId="0" fontId="22" fillId="0" borderId="37" xfId="0" applyFont="1" applyBorder="1"/>
    <xf numFmtId="169" fontId="40" fillId="0" borderId="0" xfId="13" applyNumberFormat="1" applyAlignment="1">
      <alignment horizontal="left"/>
    </xf>
    <xf numFmtId="169" fontId="40" fillId="12" borderId="0" xfId="13" applyNumberFormat="1" applyFill="1"/>
    <xf numFmtId="0" fontId="0" fillId="8" borderId="0" xfId="0" applyFill="1"/>
    <xf numFmtId="10" fontId="0" fillId="8" borderId="0" xfId="0" applyNumberFormat="1" applyFill="1"/>
    <xf numFmtId="8" fontId="6" fillId="0" borderId="0" xfId="7" applyNumberFormat="1" applyFont="1" applyFill="1" applyBorder="1"/>
    <xf numFmtId="0" fontId="12" fillId="0" borderId="20" xfId="8" applyFont="1" applyBorder="1" applyAlignment="1">
      <alignment horizontal="left" vertical="top"/>
    </xf>
    <xf numFmtId="1" fontId="24" fillId="0" borderId="20" xfId="8" applyNumberFormat="1" applyBorder="1" applyAlignment="1">
      <alignment horizontal="left" vertical="top"/>
    </xf>
    <xf numFmtId="8" fontId="6" fillId="0" borderId="20" xfId="7" applyNumberFormat="1" applyFont="1" applyFill="1" applyBorder="1"/>
    <xf numFmtId="168" fontId="10" fillId="0" borderId="41" xfId="1" applyNumberFormat="1" applyFont="1" applyFill="1" applyBorder="1"/>
    <xf numFmtId="6" fontId="0" fillId="0" borderId="0" xfId="0" applyNumberFormat="1"/>
    <xf numFmtId="165" fontId="6" fillId="3" borderId="20" xfId="2" applyNumberFormat="1" applyFont="1" applyFill="1" applyBorder="1" applyAlignment="1">
      <alignment horizontal="right"/>
    </xf>
    <xf numFmtId="3" fontId="23" fillId="0" borderId="20" xfId="0" applyNumberFormat="1" applyFont="1" applyBorder="1" applyAlignment="1">
      <alignment horizontal="right"/>
    </xf>
    <xf numFmtId="165" fontId="6" fillId="3" borderId="13" xfId="2" applyNumberFormat="1" applyFont="1" applyFill="1" applyBorder="1" applyAlignment="1">
      <alignment horizontal="right"/>
    </xf>
    <xf numFmtId="165" fontId="10" fillId="0" borderId="20" xfId="2" applyNumberFormat="1" applyFont="1" applyFill="1" applyBorder="1" applyAlignment="1">
      <alignment horizontal="right"/>
    </xf>
    <xf numFmtId="0" fontId="25" fillId="19" borderId="20" xfId="0" applyFont="1" applyFill="1" applyBorder="1" applyAlignment="1">
      <alignment vertical="center"/>
    </xf>
    <xf numFmtId="0" fontId="38" fillId="20" borderId="20" xfId="0" applyFont="1" applyFill="1" applyBorder="1" applyAlignment="1">
      <alignment vertical="center"/>
    </xf>
    <xf numFmtId="6" fontId="38" fillId="0" borderId="20" xfId="0" applyNumberFormat="1" applyFont="1" applyBorder="1" applyAlignment="1">
      <alignment horizontal="right" vertical="center"/>
    </xf>
    <xf numFmtId="8" fontId="0" fillId="0" borderId="20" xfId="0" applyNumberFormat="1" applyBorder="1"/>
    <xf numFmtId="180" fontId="0" fillId="0" borderId="0" xfId="0" applyNumberFormat="1" applyAlignment="1">
      <alignment horizontal="right"/>
    </xf>
    <xf numFmtId="0" fontId="26" fillId="0" borderId="40" xfId="0" applyFont="1" applyBorder="1" applyAlignment="1">
      <alignment horizontal="center" vertical="center"/>
    </xf>
    <xf numFmtId="0" fontId="26" fillId="7" borderId="16" xfId="0" applyFont="1" applyFill="1" applyBorder="1" applyAlignment="1">
      <alignment horizontal="center" vertical="center"/>
    </xf>
    <xf numFmtId="0" fontId="25" fillId="0" borderId="40" xfId="0" applyFont="1" applyBorder="1" applyAlignment="1">
      <alignment horizontal="center" vertical="center" wrapText="1"/>
    </xf>
    <xf numFmtId="0" fontId="25" fillId="7" borderId="67" xfId="0" applyFont="1" applyFill="1" applyBorder="1" applyAlignment="1">
      <alignment horizontal="center" vertical="center" wrapText="1"/>
    </xf>
    <xf numFmtId="0" fontId="21" fillId="0" borderId="0" xfId="0" applyFont="1"/>
    <xf numFmtId="8" fontId="10" fillId="0" borderId="0" xfId="2" applyNumberFormat="1" applyFont="1" applyFill="1" applyBorder="1"/>
    <xf numFmtId="8" fontId="10" fillId="0" borderId="41" xfId="2" applyNumberFormat="1" applyFont="1" applyFill="1" applyBorder="1"/>
    <xf numFmtId="1" fontId="10" fillId="0" borderId="0" xfId="0" applyNumberFormat="1" applyFont="1"/>
    <xf numFmtId="10" fontId="6" fillId="3" borderId="0" xfId="7" applyNumberFormat="1" applyFont="1" applyFill="1" applyBorder="1"/>
    <xf numFmtId="9" fontId="20" fillId="0" borderId="0" xfId="7" applyFont="1"/>
    <xf numFmtId="0" fontId="5" fillId="0" borderId="0" xfId="0" quotePrefix="1" applyFont="1"/>
    <xf numFmtId="0" fontId="19" fillId="0" borderId="0" xfId="0" quotePrefix="1" applyFont="1"/>
    <xf numFmtId="2" fontId="10" fillId="0" borderId="0" xfId="0" applyNumberFormat="1" applyFont="1"/>
    <xf numFmtId="168" fontId="6" fillId="3" borderId="0" xfId="1" applyNumberFormat="1" applyFont="1" applyFill="1" applyBorder="1"/>
    <xf numFmtId="0" fontId="20" fillId="0" borderId="0" xfId="0" applyFont="1" applyAlignment="1">
      <alignment horizontal="right"/>
    </xf>
    <xf numFmtId="2" fontId="20" fillId="0" borderId="0" xfId="0" applyNumberFormat="1" applyFont="1" applyAlignment="1">
      <alignment horizontal="left"/>
    </xf>
    <xf numFmtId="175" fontId="0" fillId="0" borderId="0" xfId="0" applyNumberFormat="1"/>
    <xf numFmtId="0" fontId="23" fillId="0" borderId="0" xfId="0" applyFont="1" applyAlignment="1">
      <alignment horizontal="left" vertical="center"/>
    </xf>
    <xf numFmtId="0" fontId="73" fillId="0" borderId="0" xfId="0" applyFont="1"/>
    <xf numFmtId="170" fontId="73" fillId="0" borderId="0" xfId="7" applyNumberFormat="1" applyFont="1" applyAlignment="1">
      <alignment horizontal="left"/>
    </xf>
    <xf numFmtId="2" fontId="73" fillId="0" borderId="0" xfId="0" applyNumberFormat="1" applyFont="1" applyAlignment="1">
      <alignment horizontal="left"/>
    </xf>
    <xf numFmtId="9" fontId="0" fillId="0" borderId="0" xfId="0" applyNumberFormat="1"/>
    <xf numFmtId="0" fontId="6" fillId="0" borderId="39" xfId="0" applyFont="1" applyBorder="1"/>
    <xf numFmtId="0" fontId="6" fillId="0" borderId="0" xfId="0" applyFont="1"/>
    <xf numFmtId="1" fontId="0" fillId="0" borderId="0" xfId="0" applyNumberFormat="1"/>
    <xf numFmtId="9" fontId="6" fillId="3" borderId="0" xfId="7" applyFont="1" applyFill="1" applyBorder="1"/>
    <xf numFmtId="9" fontId="74" fillId="0" borderId="0" xfId="0" applyNumberFormat="1" applyFont="1"/>
    <xf numFmtId="0" fontId="75" fillId="0" borderId="0" xfId="0" applyFont="1"/>
    <xf numFmtId="9" fontId="10" fillId="6" borderId="0" xfId="0" applyNumberFormat="1" applyFont="1" applyFill="1"/>
    <xf numFmtId="0" fontId="10" fillId="0" borderId="39" xfId="0" applyFont="1" applyBorder="1"/>
    <xf numFmtId="0" fontId="10" fillId="0" borderId="40" xfId="0" applyFont="1" applyBorder="1"/>
    <xf numFmtId="0" fontId="10" fillId="0" borderId="5" xfId="0" applyFont="1" applyBorder="1"/>
    <xf numFmtId="0" fontId="1" fillId="0" borderId="40" xfId="0" applyFont="1" applyBorder="1"/>
    <xf numFmtId="9" fontId="6" fillId="3" borderId="41" xfId="7" applyFont="1" applyFill="1" applyBorder="1"/>
    <xf numFmtId="0" fontId="76" fillId="0" borderId="40" xfId="0" applyFont="1" applyBorder="1"/>
    <xf numFmtId="2" fontId="23" fillId="0" borderId="45" xfId="0" applyNumberFormat="1" applyFont="1" applyBorder="1" applyAlignment="1">
      <alignment horizontal="center" vertical="center"/>
    </xf>
    <xf numFmtId="0" fontId="1" fillId="0" borderId="0" xfId="0" applyFont="1"/>
    <xf numFmtId="14" fontId="1" fillId="0" borderId="0" xfId="0" applyNumberFormat="1" applyFont="1" applyAlignment="1">
      <alignment horizontal="left"/>
    </xf>
    <xf numFmtId="0" fontId="1" fillId="0" borderId="0" xfId="0" applyFont="1" applyAlignment="1">
      <alignment horizontal="left"/>
    </xf>
    <xf numFmtId="0" fontId="1" fillId="0" borderId="0" xfId="0" applyFont="1" applyAlignment="1">
      <alignment horizontal="right"/>
    </xf>
    <xf numFmtId="0" fontId="1" fillId="0" borderId="6" xfId="0" applyFont="1" applyBorder="1"/>
    <xf numFmtId="44" fontId="1" fillId="0" borderId="64" xfId="2" applyFont="1" applyBorder="1"/>
    <xf numFmtId="44" fontId="1" fillId="0" borderId="65" xfId="2" applyFont="1" applyBorder="1"/>
    <xf numFmtId="170" fontId="1" fillId="0" borderId="40" xfId="7" applyNumberFormat="1" applyFont="1" applyBorder="1"/>
    <xf numFmtId="0" fontId="1" fillId="0" borderId="12" xfId="0" applyFont="1" applyBorder="1"/>
    <xf numFmtId="44" fontId="1" fillId="0" borderId="21" xfId="2" applyFont="1" applyBorder="1"/>
    <xf numFmtId="44" fontId="1" fillId="0" borderId="22" xfId="2" applyFont="1" applyBorder="1"/>
    <xf numFmtId="44" fontId="1" fillId="0" borderId="22" xfId="2" applyFont="1" applyFill="1" applyBorder="1"/>
    <xf numFmtId="44" fontId="1" fillId="0" borderId="20" xfId="2" applyFont="1" applyBorder="1"/>
    <xf numFmtId="44" fontId="1" fillId="0" borderId="14" xfId="2" applyFont="1" applyBorder="1"/>
    <xf numFmtId="0" fontId="1" fillId="0" borderId="4" xfId="0" applyFont="1" applyBorder="1"/>
    <xf numFmtId="44" fontId="1" fillId="0" borderId="54" xfId="2" applyFont="1" applyBorder="1"/>
    <xf numFmtId="44" fontId="1" fillId="0" borderId="66" xfId="2" applyFont="1" applyBorder="1"/>
    <xf numFmtId="0" fontId="1" fillId="0" borderId="46" xfId="0" applyFont="1" applyBorder="1"/>
    <xf numFmtId="170" fontId="1" fillId="0" borderId="11" xfId="7" applyNumberFormat="1" applyFont="1" applyBorder="1"/>
    <xf numFmtId="172" fontId="1" fillId="0" borderId="33" xfId="1" applyNumberFormat="1" applyFont="1" applyBorder="1"/>
    <xf numFmtId="172" fontId="1" fillId="0" borderId="7" xfId="1" applyNumberFormat="1" applyFont="1" applyBorder="1"/>
    <xf numFmtId="172" fontId="1" fillId="0" borderId="33" xfId="0" applyNumberFormat="1" applyFont="1" applyBorder="1"/>
    <xf numFmtId="43" fontId="1" fillId="0" borderId="33" xfId="0" applyNumberFormat="1" applyFont="1" applyBorder="1"/>
    <xf numFmtId="43" fontId="1" fillId="0" borderId="7" xfId="0" applyNumberFormat="1" applyFont="1" applyBorder="1"/>
    <xf numFmtId="43" fontId="1" fillId="0" borderId="20" xfId="0" applyNumberFormat="1" applyFont="1" applyBorder="1"/>
    <xf numFmtId="43" fontId="1" fillId="0" borderId="14" xfId="0" applyNumberFormat="1" applyFont="1" applyBorder="1"/>
    <xf numFmtId="2" fontId="1" fillId="0" borderId="20" xfId="0" applyNumberFormat="1" applyFont="1" applyBorder="1"/>
    <xf numFmtId="2" fontId="1" fillId="0" borderId="14" xfId="0" applyNumberFormat="1" applyFont="1" applyBorder="1"/>
    <xf numFmtId="43" fontId="1" fillId="0" borderId="0" xfId="0" applyNumberFormat="1" applyFont="1"/>
    <xf numFmtId="9" fontId="1" fillId="0" borderId="20" xfId="7" applyFont="1" applyBorder="1"/>
    <xf numFmtId="9" fontId="1" fillId="0" borderId="23" xfId="7" applyFont="1" applyBorder="1"/>
    <xf numFmtId="9" fontId="1" fillId="0" borderId="10" xfId="7" applyFont="1" applyBorder="1"/>
    <xf numFmtId="0" fontId="1" fillId="0" borderId="52" xfId="0" applyFont="1" applyBorder="1"/>
    <xf numFmtId="170" fontId="1" fillId="0" borderId="39" xfId="0" applyNumberFormat="1" applyFont="1" applyBorder="1"/>
    <xf numFmtId="0" fontId="1" fillId="0" borderId="31" xfId="0" applyFont="1" applyBorder="1"/>
    <xf numFmtId="0" fontId="1" fillId="0" borderId="47" xfId="0" applyFont="1" applyBorder="1"/>
    <xf numFmtId="43" fontId="1" fillId="0" borderId="0" xfId="1" applyFont="1" applyBorder="1"/>
    <xf numFmtId="168" fontId="1" fillId="0" borderId="0" xfId="1" applyNumberFormat="1" applyFont="1"/>
    <xf numFmtId="0" fontId="1" fillId="0" borderId="41" xfId="0" applyFont="1" applyBorder="1"/>
    <xf numFmtId="0" fontId="1" fillId="0" borderId="36" xfId="0" applyFont="1" applyBorder="1"/>
    <xf numFmtId="0" fontId="1" fillId="0" borderId="37" xfId="0" applyFont="1" applyBorder="1"/>
    <xf numFmtId="0" fontId="1" fillId="0" borderId="38" xfId="0" applyFont="1" applyBorder="1"/>
    <xf numFmtId="0" fontId="1" fillId="0" borderId="39" xfId="0" applyFont="1" applyBorder="1"/>
    <xf numFmtId="0" fontId="1" fillId="0" borderId="5" xfId="0" applyFont="1" applyBorder="1"/>
    <xf numFmtId="0" fontId="1" fillId="0" borderId="11" xfId="0" applyFont="1" applyBorder="1"/>
    <xf numFmtId="165" fontId="1" fillId="0" borderId="37" xfId="2" applyNumberFormat="1" applyFont="1" applyBorder="1"/>
    <xf numFmtId="165" fontId="1" fillId="0" borderId="0" xfId="2" applyNumberFormat="1" applyFont="1"/>
    <xf numFmtId="43" fontId="1" fillId="0" borderId="37" xfId="0" applyNumberFormat="1" applyFont="1" applyBorder="1"/>
    <xf numFmtId="1" fontId="1" fillId="0" borderId="0" xfId="0" applyNumberFormat="1" applyFont="1"/>
    <xf numFmtId="165" fontId="1" fillId="0" borderId="0" xfId="2" applyNumberFormat="1" applyFont="1" applyBorder="1"/>
    <xf numFmtId="0" fontId="1" fillId="0" borderId="0" xfId="0" quotePrefix="1" applyFont="1"/>
    <xf numFmtId="10" fontId="1" fillId="0" borderId="37" xfId="7" applyNumberFormat="1" applyFont="1" applyBorder="1"/>
    <xf numFmtId="172" fontId="1" fillId="0" borderId="0" xfId="0" applyNumberFormat="1" applyFont="1"/>
    <xf numFmtId="168" fontId="1" fillId="0" borderId="37" xfId="0" applyNumberFormat="1" applyFont="1" applyBorder="1"/>
    <xf numFmtId="43" fontId="1" fillId="0" borderId="0" xfId="1" applyFont="1" applyFill="1" applyBorder="1"/>
    <xf numFmtId="2" fontId="1" fillId="0" borderId="0" xfId="0" applyNumberFormat="1" applyFont="1"/>
    <xf numFmtId="1" fontId="1" fillId="0" borderId="41" xfId="0" applyNumberFormat="1" applyFont="1" applyBorder="1"/>
    <xf numFmtId="0" fontId="1" fillId="0" borderId="20" xfId="0" applyFont="1" applyBorder="1"/>
    <xf numFmtId="0" fontId="1" fillId="0" borderId="0" xfId="0" applyFont="1" applyAlignment="1">
      <alignment wrapText="1"/>
    </xf>
    <xf numFmtId="172" fontId="1" fillId="0" borderId="37" xfId="0" applyNumberFormat="1" applyFont="1" applyBorder="1"/>
    <xf numFmtId="168" fontId="1" fillId="0" borderId="0" xfId="0" applyNumberFormat="1" applyFont="1"/>
    <xf numFmtId="0" fontId="1" fillId="0" borderId="41" xfId="0" applyFont="1" applyBorder="1" applyAlignment="1">
      <alignment wrapText="1"/>
    </xf>
    <xf numFmtId="10" fontId="1" fillId="0" borderId="0" xfId="7" applyNumberFormat="1" applyFont="1" applyBorder="1"/>
    <xf numFmtId="165" fontId="1" fillId="0" borderId="0" xfId="0" applyNumberFormat="1" applyFont="1"/>
    <xf numFmtId="165" fontId="1" fillId="0" borderId="41" xfId="0" applyNumberFormat="1" applyFont="1" applyBorder="1"/>
    <xf numFmtId="170" fontId="1" fillId="0" borderId="0" xfId="7" applyNumberFormat="1" applyFont="1"/>
    <xf numFmtId="164" fontId="1" fillId="0" borderId="0" xfId="0" applyNumberFormat="1" applyFont="1"/>
    <xf numFmtId="168" fontId="1" fillId="0" borderId="41" xfId="0" applyNumberFormat="1" applyFont="1" applyBorder="1"/>
    <xf numFmtId="168" fontId="1" fillId="0" borderId="41" xfId="1" applyNumberFormat="1" applyFont="1" applyBorder="1"/>
    <xf numFmtId="0" fontId="1" fillId="4" borderId="0" xfId="4" applyFont="1" applyFill="1"/>
    <xf numFmtId="0" fontId="1" fillId="4" borderId="0" xfId="0" applyFont="1" applyFill="1"/>
    <xf numFmtId="10" fontId="1" fillId="0" borderId="0" xfId="7" applyNumberFormat="1" applyFont="1" applyFill="1"/>
    <xf numFmtId="168" fontId="1" fillId="0" borderId="0" xfId="7" applyNumberFormat="1" applyFont="1" applyFill="1"/>
    <xf numFmtId="10" fontId="1" fillId="0" borderId="0" xfId="7" applyNumberFormat="1" applyFont="1"/>
    <xf numFmtId="170" fontId="1" fillId="0" borderId="0" xfId="0" applyNumberFormat="1" applyFont="1"/>
    <xf numFmtId="9" fontId="1" fillId="0" borderId="0" xfId="7" applyFont="1"/>
    <xf numFmtId="174" fontId="1" fillId="0" borderId="0" xfId="7" applyNumberFormat="1" applyFont="1"/>
    <xf numFmtId="173" fontId="1" fillId="0" borderId="0" xfId="0" applyNumberFormat="1" applyFont="1"/>
    <xf numFmtId="172" fontId="1" fillId="0" borderId="0" xfId="1" applyNumberFormat="1" applyFont="1"/>
    <xf numFmtId="43" fontId="1" fillId="0" borderId="0" xfId="1" applyFont="1"/>
    <xf numFmtId="8" fontId="1" fillId="0" borderId="0" xfId="2" applyNumberFormat="1" applyFont="1"/>
    <xf numFmtId="9" fontId="1" fillId="0" borderId="0" xfId="1" applyNumberFormat="1" applyFont="1"/>
    <xf numFmtId="8" fontId="1" fillId="0" borderId="0" xfId="1" applyNumberFormat="1" applyFont="1"/>
    <xf numFmtId="168" fontId="1" fillId="0" borderId="0" xfId="1" applyNumberFormat="1" applyFont="1" applyFill="1"/>
    <xf numFmtId="172" fontId="1" fillId="0" borderId="0" xfId="1" applyNumberFormat="1" applyFont="1" applyFill="1"/>
    <xf numFmtId="44" fontId="1" fillId="0" borderId="0" xfId="0" applyNumberFormat="1" applyFont="1"/>
    <xf numFmtId="167" fontId="1" fillId="0" borderId="0" xfId="0" applyNumberFormat="1" applyFont="1"/>
    <xf numFmtId="44" fontId="1" fillId="0" borderId="0" xfId="2" applyFont="1"/>
    <xf numFmtId="43" fontId="1" fillId="0" borderId="0" xfId="1" applyFont="1" applyFill="1"/>
    <xf numFmtId="44" fontId="1" fillId="0" borderId="0" xfId="2" applyFont="1" applyFill="1"/>
    <xf numFmtId="165" fontId="1" fillId="0" borderId="0" xfId="2" applyNumberFormat="1" applyFont="1" applyFill="1"/>
    <xf numFmtId="0" fontId="8" fillId="0" borderId="26" xfId="3" applyFont="1" applyBorder="1" applyAlignment="1">
      <alignment horizontal="center"/>
    </xf>
    <xf numFmtId="0" fontId="8" fillId="0" borderId="17" xfId="3" applyFont="1" applyBorder="1" applyAlignment="1">
      <alignment horizontal="center"/>
    </xf>
    <xf numFmtId="170" fontId="14" fillId="0" borderId="13" xfId="0" applyNumberFormat="1" applyFont="1" applyBorder="1" applyAlignment="1">
      <alignment horizontal="center"/>
    </xf>
    <xf numFmtId="170" fontId="14" fillId="0" borderId="61" xfId="0" applyNumberFormat="1" applyFont="1" applyBorder="1" applyAlignment="1">
      <alignment horizontal="center"/>
    </xf>
    <xf numFmtId="170" fontId="14" fillId="0" borderId="15" xfId="0" applyNumberFormat="1" applyFont="1" applyBorder="1" applyAlignment="1">
      <alignment horizontal="center"/>
    </xf>
    <xf numFmtId="0" fontId="55" fillId="0" borderId="20" xfId="0" applyFont="1" applyBorder="1" applyAlignment="1">
      <alignment horizontal="left" vertical="center" wrapText="1"/>
    </xf>
    <xf numFmtId="0" fontId="14" fillId="0" borderId="20" xfId="0" applyFont="1" applyBorder="1" applyAlignment="1">
      <alignment horizontal="left" vertical="center"/>
    </xf>
    <xf numFmtId="0" fontId="54" fillId="15" borderId="21" xfId="9" applyFont="1" applyFill="1" applyBorder="1" applyAlignment="1">
      <alignment horizontal="center" vertical="center" wrapText="1"/>
    </xf>
    <xf numFmtId="0" fontId="54" fillId="15" borderId="34" xfId="9" applyFont="1" applyFill="1" applyBorder="1" applyAlignment="1">
      <alignment horizontal="center" vertical="center" wrapText="1"/>
    </xf>
    <xf numFmtId="0" fontId="54" fillId="15" borderId="20" xfId="9" applyFont="1" applyFill="1" applyBorder="1" applyAlignment="1">
      <alignment horizontal="center" vertical="center" wrapText="1"/>
    </xf>
    <xf numFmtId="0" fontId="59" fillId="0" borderId="20" xfId="0" applyFont="1" applyBorder="1" applyAlignment="1">
      <alignment horizontal="left" vertical="center" wrapText="1"/>
    </xf>
    <xf numFmtId="0" fontId="0" fillId="0" borderId="20" xfId="0" applyBorder="1" applyAlignment="1">
      <alignment horizontal="center" vertical="center"/>
    </xf>
    <xf numFmtId="0" fontId="0" fillId="0" borderId="13" xfId="0" applyBorder="1" applyAlignment="1">
      <alignment horizontal="left"/>
    </xf>
    <xf numFmtId="0" fontId="0" fillId="0" borderId="15" xfId="0" applyBorder="1" applyAlignment="1">
      <alignment horizontal="left"/>
    </xf>
    <xf numFmtId="0" fontId="61" fillId="0" borderId="39" xfId="0" applyFont="1" applyBorder="1" applyAlignment="1">
      <alignment horizontal="left" vertical="top" wrapText="1"/>
    </xf>
    <xf numFmtId="0" fontId="61" fillId="0" borderId="0" xfId="0" applyFont="1" applyAlignment="1">
      <alignment horizontal="left" vertical="top" wrapText="1"/>
    </xf>
    <xf numFmtId="0" fontId="61" fillId="0" borderId="40" xfId="0" applyFont="1" applyBorder="1" applyAlignment="1">
      <alignment horizontal="left" vertical="top" wrapText="1"/>
    </xf>
    <xf numFmtId="0" fontId="69" fillId="16" borderId="20" xfId="0" applyFont="1" applyFill="1" applyBorder="1" applyAlignment="1">
      <alignment horizontal="center" vertical="center" wrapText="1"/>
    </xf>
    <xf numFmtId="0" fontId="69" fillId="16" borderId="20" xfId="0" applyFont="1" applyFill="1" applyBorder="1" applyAlignment="1">
      <alignment vertical="center" wrapText="1"/>
    </xf>
    <xf numFmtId="0" fontId="61" fillId="0" borderId="29" xfId="0" applyFont="1" applyBorder="1" applyAlignment="1">
      <alignment horizontal="left" vertical="top" wrapText="1"/>
    </xf>
    <xf numFmtId="0" fontId="61" fillId="0" borderId="63" xfId="0" applyFont="1" applyBorder="1" applyAlignment="1">
      <alignment horizontal="left" vertical="top" wrapText="1"/>
    </xf>
    <xf numFmtId="0" fontId="61" fillId="0" borderId="45" xfId="0" applyFont="1" applyBorder="1" applyAlignment="1">
      <alignment horizontal="left" vertical="top" wrapText="1"/>
    </xf>
    <xf numFmtId="0" fontId="61" fillId="0" borderId="41" xfId="0" applyFont="1" applyBorder="1" applyAlignment="1">
      <alignment horizontal="left" vertical="center" wrapText="1"/>
    </xf>
    <xf numFmtId="0" fontId="61" fillId="0" borderId="11" xfId="0" applyFont="1" applyBorder="1" applyAlignment="1">
      <alignment horizontal="left" vertical="center" wrapText="1"/>
    </xf>
    <xf numFmtId="0" fontId="69" fillId="16" borderId="13" xfId="0" applyFont="1" applyFill="1" applyBorder="1" applyAlignment="1">
      <alignment horizontal="center" vertical="center"/>
    </xf>
    <xf numFmtId="0" fontId="69" fillId="16" borderId="61" xfId="0" applyFont="1" applyFill="1" applyBorder="1" applyAlignment="1">
      <alignment horizontal="center" vertical="center"/>
    </xf>
    <xf numFmtId="0" fontId="69" fillId="16" borderId="15" xfId="0" applyFont="1" applyFill="1" applyBorder="1" applyAlignment="1">
      <alignment horizontal="center" vertical="center"/>
    </xf>
    <xf numFmtId="0" fontId="61" fillId="0" borderId="37" xfId="0" applyFont="1" applyBorder="1" applyAlignment="1">
      <alignment horizontal="left" vertical="center" wrapText="1"/>
    </xf>
    <xf numFmtId="0" fontId="61" fillId="0" borderId="38" xfId="0" applyFont="1" applyBorder="1" applyAlignment="1">
      <alignment horizontal="left" vertical="center" wrapText="1"/>
    </xf>
    <xf numFmtId="0" fontId="69" fillId="16" borderId="5" xfId="0" applyFont="1" applyFill="1" applyBorder="1" applyAlignment="1">
      <alignment horizontal="center" vertical="center" wrapText="1"/>
    </xf>
    <xf numFmtId="0" fontId="69" fillId="16" borderId="41" xfId="0" applyFont="1" applyFill="1" applyBorder="1" applyAlignment="1">
      <alignment horizontal="center" vertical="center" wrapText="1"/>
    </xf>
    <xf numFmtId="0" fontId="69" fillId="16" borderId="11" xfId="0" applyFont="1" applyFill="1" applyBorder="1" applyAlignment="1">
      <alignment horizontal="center" vertical="center" wrapText="1"/>
    </xf>
    <xf numFmtId="0" fontId="61" fillId="0" borderId="5" xfId="0" applyFont="1" applyBorder="1" applyAlignment="1">
      <alignment horizontal="left" vertical="top" wrapText="1"/>
    </xf>
    <xf numFmtId="0" fontId="61" fillId="0" borderId="41" xfId="0" applyFont="1" applyBorder="1" applyAlignment="1">
      <alignment horizontal="left" vertical="top" wrapText="1"/>
    </xf>
    <xf numFmtId="0" fontId="61" fillId="0" borderId="11" xfId="0" applyFont="1" applyBorder="1" applyAlignment="1">
      <alignment horizontal="left" vertical="top" wrapText="1"/>
    </xf>
    <xf numFmtId="0" fontId="54" fillId="16" borderId="20" xfId="0" applyFont="1" applyFill="1" applyBorder="1" applyAlignment="1">
      <alignment vertical="center" wrapText="1"/>
    </xf>
    <xf numFmtId="0" fontId="61" fillId="0" borderId="39" xfId="0" applyFont="1" applyBorder="1" applyAlignment="1">
      <alignment vertical="top" wrapText="1"/>
    </xf>
    <xf numFmtId="0" fontId="61" fillId="0" borderId="40" xfId="0" applyFont="1" applyBorder="1" applyAlignment="1">
      <alignment vertical="top" wrapText="1"/>
    </xf>
    <xf numFmtId="0" fontId="61" fillId="0" borderId="5" xfId="0" applyFont="1" applyBorder="1" applyAlignment="1">
      <alignment vertical="top" wrapText="1"/>
    </xf>
    <xf numFmtId="0" fontId="61" fillId="0" borderId="11" xfId="0" applyFont="1" applyBorder="1" applyAlignment="1">
      <alignment vertical="top" wrapText="1"/>
    </xf>
    <xf numFmtId="0" fontId="61" fillId="0" borderId="39" xfId="0" applyFont="1" applyBorder="1" applyAlignment="1">
      <alignment horizontal="left" vertical="top"/>
    </xf>
    <xf numFmtId="0" fontId="61" fillId="0" borderId="0" xfId="0" applyFont="1" applyAlignment="1">
      <alignment horizontal="left" vertical="top"/>
    </xf>
    <xf numFmtId="0" fontId="61" fillId="0" borderId="40" xfId="0" applyFont="1" applyBorder="1" applyAlignment="1">
      <alignment horizontal="left" vertical="top"/>
    </xf>
    <xf numFmtId="0" fontId="61" fillId="0" borderId="5" xfId="0" applyFont="1" applyBorder="1" applyAlignment="1">
      <alignment horizontal="left" vertical="top"/>
    </xf>
    <xf numFmtId="0" fontId="61" fillId="0" borderId="41" xfId="0" applyFont="1" applyBorder="1" applyAlignment="1">
      <alignment horizontal="left" vertical="top"/>
    </xf>
    <xf numFmtId="0" fontId="61" fillId="0" borderId="11" xfId="0" applyFont="1" applyBorder="1" applyAlignment="1">
      <alignment horizontal="left" vertical="top"/>
    </xf>
    <xf numFmtId="0" fontId="25" fillId="7" borderId="25" xfId="0" applyFont="1" applyFill="1" applyBorder="1" applyAlignment="1">
      <alignment horizontal="center" vertical="center" wrapText="1"/>
    </xf>
    <xf numFmtId="0" fontId="25" fillId="7" borderId="28" xfId="0" applyFont="1" applyFill="1" applyBorder="1" applyAlignment="1">
      <alignment horizontal="center" vertical="center" wrapText="1"/>
    </xf>
    <xf numFmtId="0" fontId="27" fillId="7" borderId="17" xfId="0" applyFont="1" applyFill="1" applyBorder="1" applyAlignment="1">
      <alignment horizontal="center" vertical="center" wrapText="1"/>
    </xf>
    <xf numFmtId="0" fontId="27" fillId="7" borderId="27" xfId="0" applyFont="1" applyFill="1" applyBorder="1" applyAlignment="1">
      <alignment horizontal="center" vertical="center" wrapText="1"/>
    </xf>
    <xf numFmtId="0" fontId="23" fillId="0" borderId="2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23" fillId="0" borderId="25" xfId="0" applyFont="1" applyBorder="1" applyAlignment="1">
      <alignment horizontal="center" vertical="center"/>
    </xf>
    <xf numFmtId="0" fontId="23" fillId="0" borderId="24" xfId="0" applyFont="1" applyBorder="1" applyAlignment="1">
      <alignment horizontal="center" vertical="center"/>
    </xf>
    <xf numFmtId="0" fontId="23" fillId="0" borderId="44" xfId="0" applyFont="1" applyBorder="1" applyAlignment="1">
      <alignment horizontal="center" vertical="center"/>
    </xf>
    <xf numFmtId="0" fontId="2" fillId="0" borderId="0" xfId="10" applyAlignment="1">
      <alignment horizontal="left" vertical="center"/>
    </xf>
    <xf numFmtId="0" fontId="23" fillId="0" borderId="25" xfId="0" applyFont="1" applyBorder="1" applyAlignment="1">
      <alignment horizontal="center" vertical="center" wrapText="1"/>
    </xf>
    <xf numFmtId="0" fontId="23" fillId="0" borderId="24" xfId="0" applyFont="1" applyBorder="1" applyAlignment="1">
      <alignment horizontal="center" vertical="center" wrapText="1"/>
    </xf>
    <xf numFmtId="0" fontId="23" fillId="0" borderId="44" xfId="0" applyFont="1" applyBorder="1" applyAlignment="1">
      <alignment horizontal="center" vertical="center" wrapText="1"/>
    </xf>
    <xf numFmtId="0" fontId="35" fillId="0" borderId="0" xfId="0" applyFont="1" applyAlignment="1">
      <alignment horizontal="center"/>
    </xf>
    <xf numFmtId="0" fontId="2" fillId="0" borderId="35" xfId="10" applyBorder="1" applyAlignment="1">
      <alignment horizontal="left" vertical="center"/>
    </xf>
    <xf numFmtId="0" fontId="17" fillId="9" borderId="33" xfId="10" applyFont="1" applyFill="1" applyBorder="1" applyAlignment="1">
      <alignment horizontal="center" vertical="center"/>
    </xf>
    <xf numFmtId="0" fontId="17" fillId="9" borderId="21" xfId="10" applyFont="1" applyFill="1" applyBorder="1" applyAlignment="1">
      <alignment horizontal="center" vertical="center"/>
    </xf>
    <xf numFmtId="0" fontId="17" fillId="9" borderId="7" xfId="10" applyFont="1" applyFill="1" applyBorder="1" applyAlignment="1">
      <alignment horizontal="center" vertical="center" wrapText="1"/>
    </xf>
    <xf numFmtId="0" fontId="17" fillId="9" borderId="22" xfId="10" applyFont="1" applyFill="1" applyBorder="1" applyAlignment="1">
      <alignment horizontal="center" vertical="center" wrapText="1"/>
    </xf>
    <xf numFmtId="0" fontId="34" fillId="10" borderId="0" xfId="0" applyFont="1" applyFill="1" applyAlignment="1">
      <alignment horizontal="center"/>
    </xf>
    <xf numFmtId="171" fontId="0" fillId="6" borderId="0" xfId="7" applyNumberFormat="1" applyFont="1" applyFill="1" applyAlignment="1">
      <alignment horizontal="center"/>
    </xf>
    <xf numFmtId="0" fontId="0" fillId="0" borderId="0" xfId="0"/>
    <xf numFmtId="0" fontId="0" fillId="0" borderId="0" xfId="0" applyAlignment="1">
      <alignment horizontal="left" wrapText="1"/>
    </xf>
  </cellXfs>
  <cellStyles count="23">
    <cellStyle name="20% - Accent1" xfId="4" builtinId="30"/>
    <cellStyle name="Body: normal cell" xfId="18" xr:uid="{1DE18A7E-8BCA-4F30-911A-698CD5195569}"/>
    <cellStyle name="Comma" xfId="1" builtinId="3"/>
    <cellStyle name="Currency" xfId="2" builtinId="4"/>
    <cellStyle name="Font: Calibri, 9pt regular" xfId="14" xr:uid="{5A248D6A-B755-4176-B01A-1EF902AF2EAD}"/>
    <cellStyle name="Footnotes: top row" xfId="19" xr:uid="{95ABF0D6-2796-4ADA-AF65-68F5549C331B}"/>
    <cellStyle name="Header: bottom row" xfId="15" xr:uid="{45A12CA9-7F47-4320-9240-C562C135E97E}"/>
    <cellStyle name="Heading 1" xfId="3" builtinId="16"/>
    <cellStyle name="Heading 2" xfId="9" builtinId="17"/>
    <cellStyle name="Hyperlink" xfId="5" builtinId="8"/>
    <cellStyle name="Hyperlink 2" xfId="22" xr:uid="{FDF29817-6CC5-4B81-9FBF-DD19B30E5C17}"/>
    <cellStyle name="Normal" xfId="0" builtinId="0"/>
    <cellStyle name="Normal 2" xfId="6" xr:uid="{632B60C4-5029-4154-B209-926F418E5AAF}"/>
    <cellStyle name="Normal 2 2" xfId="10" xr:uid="{6FF10FA4-F494-4C14-A7E7-F38B6BA4B192}"/>
    <cellStyle name="Normal 3" xfId="8" xr:uid="{AAC2C69E-7F3B-4D27-9342-260C94829821}"/>
    <cellStyle name="Normal 4" xfId="13" xr:uid="{28C6262E-C61A-4496-9D08-0CEBAE4B4785}"/>
    <cellStyle name="Normal 7" xfId="21" xr:uid="{89AA7564-B29B-4F50-B279-517D1F9A0E35}"/>
    <cellStyle name="Note" xfId="20" builtinId="10"/>
    <cellStyle name="Parent row" xfId="17" xr:uid="{931BCA16-3485-4371-B1D3-34E2D5F13DDC}"/>
    <cellStyle name="Percent" xfId="7" builtinId="5"/>
    <cellStyle name="Percent 2" xfId="12" xr:uid="{F104A161-110C-47EF-B37B-10791B225543}"/>
    <cellStyle name="Percent 3" xfId="11" xr:uid="{98F028A2-0B9B-4ED1-AC38-189E65E51586}"/>
    <cellStyle name="Table title" xfId="16" xr:uid="{70299FAC-0AC4-475E-8A49-F77206B33DA5}"/>
  </cellStyles>
  <dxfs count="16">
    <dxf>
      <font>
        <b/>
        <i val="0"/>
        <color rgb="FFFF0000"/>
      </font>
      <numFmt numFmtId="30" formatCode="@"/>
      <fill>
        <patternFill>
          <bgColor rgb="FFFFFF00"/>
        </patternFill>
      </fill>
    </dxf>
    <dxf>
      <font>
        <b/>
        <i val="0"/>
        <color rgb="FFFF0000"/>
      </font>
      <numFmt numFmtId="30" formatCode="@"/>
      <fill>
        <patternFill>
          <bgColor rgb="FFFFFF00"/>
        </patternFill>
      </fill>
    </dxf>
    <dxf>
      <fill>
        <patternFill patternType="solid">
          <fgColor indexed="64"/>
          <bgColor theme="0"/>
        </patternFill>
      </fill>
      <border diagonalUp="0" diagonalDown="0">
        <left style="thin">
          <color indexed="64"/>
        </left>
        <right/>
        <top style="thin">
          <color indexed="64"/>
        </top>
        <bottom style="thin">
          <color indexed="64"/>
        </bottom>
        <vertical/>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19" formatCode="m/d/yyyy"/>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169" formatCode="&quot;$&quot;#,##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169" formatCode="&quot;$&quot;#,##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numFmt numFmtId="19" formatCode="m/d/yyyy"/>
      <fill>
        <patternFill patternType="solid">
          <fgColor indexed="64"/>
          <bgColor theme="0"/>
        </patternFill>
      </fill>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patternFill>
      </fill>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Present Value of Benefits &amp; Costs (3.1% disc. rate*)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10"/>
          <c:order val="0"/>
          <c:tx>
            <c:strRef>
              <c:f>Summary!$B$89</c:f>
              <c:strCache>
                <c:ptCount val="1"/>
                <c:pt idx="0">
                  <c:v>Residual Value</c:v>
                </c:pt>
              </c:strCache>
            </c:strRef>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c:spPr>
          <c:invertIfNegative val="0"/>
          <c:cat>
            <c:numRef>
              <c:f>Summary!$F$80:$AR$80</c:f>
              <c:numCache>
                <c:formatCode>0</c:formatCode>
                <c:ptCount val="3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numCache>
            </c:numRef>
          </c:cat>
          <c:val>
            <c:numRef>
              <c:f>Summary!$F$89:$AR$89</c:f>
              <c:numCache>
                <c:formatCode>_(* #,##0.00_);_(* \(#,##0.00\);_(*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A-2257-4F6B-AB63-3DBAF1870A6A}"/>
            </c:ext>
          </c:extLst>
        </c:ser>
        <c:ser>
          <c:idx val="9"/>
          <c:order val="1"/>
          <c:tx>
            <c:strRef>
              <c:f>Summary!$B$87</c:f>
              <c:strCache>
                <c:ptCount val="1"/>
                <c:pt idx="0">
                  <c:v>Reduced Bridge Hits</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c:spPr>
          <c:invertIfNegative val="0"/>
          <c:cat>
            <c:numRef>
              <c:f>Summary!$F$80:$AR$80</c:f>
              <c:numCache>
                <c:formatCode>0</c:formatCode>
                <c:ptCount val="3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numCache>
            </c:numRef>
          </c:cat>
          <c:val>
            <c:numRef>
              <c:f>Summary!$F$87:$AR$87</c:f>
              <c:numCache>
                <c:formatCode>_(* #,##0.00_);_(* \(#,##0.00\);_(* "-"??_);_(@_)</c:formatCode>
                <c:ptCount val="39"/>
                <c:pt idx="0">
                  <c:v>0</c:v>
                </c:pt>
                <c:pt idx="1">
                  <c:v>0</c:v>
                </c:pt>
                <c:pt idx="2">
                  <c:v>0</c:v>
                </c:pt>
                <c:pt idx="3">
                  <c:v>0</c:v>
                </c:pt>
                <c:pt idx="4">
                  <c:v>0</c:v>
                </c:pt>
                <c:pt idx="5">
                  <c:v>0</c:v>
                </c:pt>
                <c:pt idx="6">
                  <c:v>0</c:v>
                </c:pt>
                <c:pt idx="7">
                  <c:v>0</c:v>
                </c:pt>
                <c:pt idx="8">
                  <c:v>0</c:v>
                </c:pt>
                <c:pt idx="9">
                  <c:v>1.5278621546086833E-3</c:v>
                </c:pt>
                <c:pt idx="10">
                  <c:v>1.4819225553915456E-3</c:v>
                </c:pt>
                <c:pt idx="11">
                  <c:v>1.4373642632313731E-3</c:v>
                </c:pt>
                <c:pt idx="12">
                  <c:v>1.3941457451322728E-3</c:v>
                </c:pt>
                <c:pt idx="13">
                  <c:v>1.352226716908121E-3</c:v>
                </c:pt>
                <c:pt idx="14">
                  <c:v>1.3115681056334832E-3</c:v>
                </c:pt>
                <c:pt idx="15">
                  <c:v>1.2721320132235529E-3</c:v>
                </c:pt>
                <c:pt idx="16">
                  <c:v>1.2338816811091689E-3</c:v>
                </c:pt>
                <c:pt idx="17">
                  <c:v>1.1967814559739757E-3</c:v>
                </c:pt>
                <c:pt idx="18">
                  <c:v>1.1607967565218E-3</c:v>
                </c:pt>
                <c:pt idx="19">
                  <c:v>1.1258940412432591E-3</c:v>
                </c:pt>
                <c:pt idx="20">
                  <c:v>1.0920407771515608E-3</c:v>
                </c:pt>
                <c:pt idx="21">
                  <c:v>1.0592054094583519E-3</c:v>
                </c:pt>
                <c:pt idx="22">
                  <c:v>1.0273573321613499E-3</c:v>
                </c:pt>
                <c:pt idx="23">
                  <c:v>9.964668595163434E-4</c:v>
                </c:pt>
                <c:pt idx="24">
                  <c:v>9.6650519836696748E-4</c:v>
                </c:pt>
                <c:pt idx="25">
                  <c:v>9.3744442130646709E-4</c:v>
                </c:pt>
                <c:pt idx="26">
                  <c:v>9.0925744064642789E-4</c:v>
                </c:pt>
                <c:pt idx="27">
                  <c:v>8.8191798316821337E-4</c:v>
                </c:pt>
                <c:pt idx="28">
                  <c:v>8.5540056563357262E-4</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9-2257-4F6B-AB63-3DBAF1870A6A}"/>
            </c:ext>
          </c:extLst>
        </c:ser>
        <c:ser>
          <c:idx val="5"/>
          <c:order val="2"/>
          <c:tx>
            <c:strRef>
              <c:f>Summary!$B$86</c:f>
              <c:strCache>
                <c:ptCount val="1"/>
                <c:pt idx="0">
                  <c:v>Induced Pedestrian Demand</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c:spPr>
          <c:invertIfNegative val="0"/>
          <c:cat>
            <c:numRef>
              <c:f>Summary!$F$80:$AR$80</c:f>
              <c:numCache>
                <c:formatCode>0</c:formatCode>
                <c:ptCount val="3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numCache>
            </c:numRef>
          </c:cat>
          <c:val>
            <c:numRef>
              <c:f>Summary!$F$86:$AR$86</c:f>
              <c:numCache>
                <c:formatCode>_(* #,##0.00_);_(* \(#,##0.00\);_(* "-"??_);_(@_)</c:formatCode>
                <c:ptCount val="39"/>
                <c:pt idx="0">
                  <c:v>0</c:v>
                </c:pt>
                <c:pt idx="1">
                  <c:v>0</c:v>
                </c:pt>
                <c:pt idx="2">
                  <c:v>0</c:v>
                </c:pt>
                <c:pt idx="3">
                  <c:v>0</c:v>
                </c:pt>
                <c:pt idx="4">
                  <c:v>0</c:v>
                </c:pt>
                <c:pt idx="5">
                  <c:v>0</c:v>
                </c:pt>
                <c:pt idx="6">
                  <c:v>0</c:v>
                </c:pt>
                <c:pt idx="7">
                  <c:v>0</c:v>
                </c:pt>
                <c:pt idx="8">
                  <c:v>0</c:v>
                </c:pt>
                <c:pt idx="9">
                  <c:v>5.7139605056691217E-2</c:v>
                </c:pt>
                <c:pt idx="10">
                  <c:v>8.3931655193136501E-2</c:v>
                </c:pt>
                <c:pt idx="11">
                  <c:v>0.10957776177201936</c:v>
                </c:pt>
                <c:pt idx="12">
                  <c:v>0.10728565881820248</c:v>
                </c:pt>
                <c:pt idx="13">
                  <c:v>0.10503232640813173</c:v>
                </c:pt>
                <c:pt idx="14">
                  <c:v>0.10281750528510938</c:v>
                </c:pt>
                <c:pt idx="15">
                  <c:v>0.10064091673143589</c:v>
                </c:pt>
                <c:pt idx="16">
                  <c:v>9.8502263973101009E-2</c:v>
                </c:pt>
                <c:pt idx="17">
                  <c:v>9.6401233517596968E-2</c:v>
                </c:pt>
                <c:pt idx="18">
                  <c:v>9.4337496427605458E-2</c:v>
                </c:pt>
                <c:pt idx="19">
                  <c:v>9.231070953320536E-2</c:v>
                </c:pt>
                <c:pt idx="20">
                  <c:v>9.0320516585146587E-2</c:v>
                </c:pt>
                <c:pt idx="21">
                  <c:v>8.836654935163836E-2</c:v>
                </c:pt>
                <c:pt idx="22">
                  <c:v>8.6448428661006133E-2</c:v>
                </c:pt>
                <c:pt idx="23">
                  <c:v>8.4565765392480327E-2</c:v>
                </c:pt>
                <c:pt idx="24">
                  <c:v>8.2718161417294073E-2</c:v>
                </c:pt>
                <c:pt idx="25">
                  <c:v>8.0905210492181773E-2</c:v>
                </c:pt>
                <c:pt idx="26">
                  <c:v>7.912649910729061E-2</c:v>
                </c:pt>
                <c:pt idx="27">
                  <c:v>7.7381607290438206E-2</c:v>
                </c:pt>
                <c:pt idx="28">
                  <c:v>7.567010936957512E-2</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9808-471E-A9B1-CBCAA795C490}"/>
            </c:ext>
          </c:extLst>
        </c:ser>
        <c:ser>
          <c:idx val="4"/>
          <c:order val="3"/>
          <c:tx>
            <c:strRef>
              <c:f>Summary!$B$85</c:f>
              <c:strCache>
                <c:ptCount val="1"/>
                <c:pt idx="0">
                  <c:v>Pedestrian / Cycling Improvments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invertIfNegative val="0"/>
          <c:cat>
            <c:numRef>
              <c:f>Summary!$F$80:$AR$80</c:f>
              <c:numCache>
                <c:formatCode>0</c:formatCode>
                <c:ptCount val="3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numCache>
            </c:numRef>
          </c:cat>
          <c:val>
            <c:numRef>
              <c:f>Summary!$F$85:$AR$85</c:f>
              <c:numCache>
                <c:formatCode>_(* #,##0.00_);_(* \(#,##0.00\);_(* "-"??_);_(@_)</c:formatCode>
                <c:ptCount val="39"/>
                <c:pt idx="0">
                  <c:v>0</c:v>
                </c:pt>
                <c:pt idx="1">
                  <c:v>0</c:v>
                </c:pt>
                <c:pt idx="2">
                  <c:v>0</c:v>
                </c:pt>
                <c:pt idx="3">
                  <c:v>0</c:v>
                </c:pt>
                <c:pt idx="4">
                  <c:v>0</c:v>
                </c:pt>
                <c:pt idx="5">
                  <c:v>0</c:v>
                </c:pt>
                <c:pt idx="6">
                  <c:v>0</c:v>
                </c:pt>
                <c:pt idx="7">
                  <c:v>0</c:v>
                </c:pt>
                <c:pt idx="8">
                  <c:v>0</c:v>
                </c:pt>
                <c:pt idx="9">
                  <c:v>0.16281013888524559</c:v>
                </c:pt>
                <c:pt idx="10">
                  <c:v>0.18802306821950787</c:v>
                </c:pt>
                <c:pt idx="11">
                  <c:v>0.2121114636135166</c:v>
                </c:pt>
                <c:pt idx="12">
                  <c:v>0.20728922906036182</c:v>
                </c:pt>
                <c:pt idx="13">
                  <c:v>0.20256791873042154</c:v>
                </c:pt>
                <c:pt idx="14">
                  <c:v>0.19794575608212145</c:v>
                </c:pt>
                <c:pt idx="15">
                  <c:v>0.19342098182941622</c:v>
                </c:pt>
                <c:pt idx="16">
                  <c:v>0.18899185446889893</c:v>
                </c:pt>
                <c:pt idx="17">
                  <c:v>0.18465665076063867</c:v>
                </c:pt>
                <c:pt idx="18">
                  <c:v>0.18041366616502674</c:v>
                </c:pt>
                <c:pt idx="19">
                  <c:v>0.17626121523781779</c:v>
                </c:pt>
                <c:pt idx="20">
                  <c:v>0.17219763198546006</c:v>
                </c:pt>
                <c:pt idx="21">
                  <c:v>0.16822127018272257</c:v>
                </c:pt>
                <c:pt idx="22">
                  <c:v>0.16433050365454241</c:v>
                </c:pt>
                <c:pt idx="23">
                  <c:v>0.16052372652393257</c:v>
                </c:pt>
                <c:pt idx="24">
                  <c:v>0.1567993534277172</c:v>
                </c:pt>
                <c:pt idx="25">
                  <c:v>0.15315581970178091</c:v>
                </c:pt>
                <c:pt idx="26">
                  <c:v>0.14959158153745128</c:v>
                </c:pt>
                <c:pt idx="27">
                  <c:v>0.14610511611056187</c:v>
                </c:pt>
                <c:pt idx="28">
                  <c:v>0.14269492168467773</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4-2257-4F6B-AB63-3DBAF1870A6A}"/>
            </c:ext>
          </c:extLst>
        </c:ser>
        <c:ser>
          <c:idx val="3"/>
          <c:order val="4"/>
          <c:tx>
            <c:strRef>
              <c:f>Summary!$B$84</c:f>
              <c:strCache>
                <c:ptCount val="1"/>
                <c:pt idx="0">
                  <c:v>Emmisions Reduction</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invertIfNegative val="0"/>
          <c:cat>
            <c:numRef>
              <c:f>Summary!$F$80:$AR$80</c:f>
              <c:numCache>
                <c:formatCode>0</c:formatCode>
                <c:ptCount val="3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numCache>
            </c:numRef>
          </c:cat>
          <c:val>
            <c:numRef>
              <c:f>Summary!$F$84:$AR$84</c:f>
              <c:numCache>
                <c:formatCode>_(* #,##0.00_);_(* \(#,##0.00\);_(* "-"??_);_(@_)</c:formatCode>
                <c:ptCount val="39"/>
                <c:pt idx="0">
                  <c:v>0</c:v>
                </c:pt>
                <c:pt idx="1">
                  <c:v>0</c:v>
                </c:pt>
                <c:pt idx="2">
                  <c:v>0</c:v>
                </c:pt>
                <c:pt idx="3">
                  <c:v>0</c:v>
                </c:pt>
                <c:pt idx="4">
                  <c:v>0</c:v>
                </c:pt>
                <c:pt idx="5">
                  <c:v>0</c:v>
                </c:pt>
                <c:pt idx="6">
                  <c:v>0</c:v>
                </c:pt>
                <c:pt idx="7">
                  <c:v>0</c:v>
                </c:pt>
                <c:pt idx="8">
                  <c:v>0</c:v>
                </c:pt>
                <c:pt idx="9">
                  <c:v>6.7980636457353914E-3</c:v>
                </c:pt>
                <c:pt idx="10">
                  <c:v>7.3687473606884176E-3</c:v>
                </c:pt>
                <c:pt idx="11">
                  <c:v>7.9510865509273294E-3</c:v>
                </c:pt>
                <c:pt idx="12">
                  <c:v>8.4822662207222552E-3</c:v>
                </c:pt>
                <c:pt idx="13">
                  <c:v>8.8795473391130864E-3</c:v>
                </c:pt>
                <c:pt idx="14">
                  <c:v>9.2451855664827526E-3</c:v>
                </c:pt>
                <c:pt idx="15">
                  <c:v>9.5854357302767347E-3</c:v>
                </c:pt>
                <c:pt idx="16">
                  <c:v>9.8992459466281987E-3</c:v>
                </c:pt>
                <c:pt idx="17">
                  <c:v>1.0185060833015933E-2</c:v>
                </c:pt>
                <c:pt idx="18">
                  <c:v>1.0449643555823859E-2</c:v>
                </c:pt>
                <c:pt idx="19">
                  <c:v>1.0691439581928516E-2</c:v>
                </c:pt>
                <c:pt idx="20">
                  <c:v>1.0908459533710856E-2</c:v>
                </c:pt>
                <c:pt idx="21">
                  <c:v>1.1107899383304186E-2</c:v>
                </c:pt>
                <c:pt idx="22">
                  <c:v>1.1287767212366236E-2</c:v>
                </c:pt>
                <c:pt idx="23">
                  <c:v>1.1449044294251767E-2</c:v>
                </c:pt>
                <c:pt idx="24">
                  <c:v>1.1592670437929812E-2</c:v>
                </c:pt>
                <c:pt idx="25">
                  <c:v>1.1719545603659684E-2</c:v>
                </c:pt>
                <c:pt idx="26">
                  <c:v>1.1830531458733438E-2</c:v>
                </c:pt>
                <c:pt idx="27">
                  <c:v>1.192645287543413E-2</c:v>
                </c:pt>
                <c:pt idx="28">
                  <c:v>1.2008099373283813E-2</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3-2257-4F6B-AB63-3DBAF1870A6A}"/>
            </c:ext>
          </c:extLst>
        </c:ser>
        <c:ser>
          <c:idx val="2"/>
          <c:order val="5"/>
          <c:tx>
            <c:strRef>
              <c:f>Summary!$B$83</c:f>
              <c:strCache>
                <c:ptCount val="1"/>
                <c:pt idx="0">
                  <c:v>Reduced Vehicle Operating Costs</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numRef>
              <c:f>Summary!$F$80:$AR$80</c:f>
              <c:numCache>
                <c:formatCode>0</c:formatCode>
                <c:ptCount val="3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numCache>
            </c:numRef>
          </c:cat>
          <c:val>
            <c:numRef>
              <c:f>Summary!$F$83:$AR$83</c:f>
              <c:numCache>
                <c:formatCode>_(* #,##0.00_);_(* \(#,##0.00\);_(* "-"??_);_(@_)</c:formatCode>
                <c:ptCount val="39"/>
                <c:pt idx="0">
                  <c:v>0</c:v>
                </c:pt>
                <c:pt idx="1">
                  <c:v>0</c:v>
                </c:pt>
                <c:pt idx="2">
                  <c:v>0</c:v>
                </c:pt>
                <c:pt idx="3">
                  <c:v>0</c:v>
                </c:pt>
                <c:pt idx="4">
                  <c:v>0</c:v>
                </c:pt>
                <c:pt idx="5">
                  <c:v>0</c:v>
                </c:pt>
                <c:pt idx="6">
                  <c:v>0</c:v>
                </c:pt>
                <c:pt idx="7">
                  <c:v>0</c:v>
                </c:pt>
                <c:pt idx="8">
                  <c:v>0</c:v>
                </c:pt>
                <c:pt idx="9">
                  <c:v>0.35657899825560668</c:v>
                </c:pt>
                <c:pt idx="10">
                  <c:v>0.36287221863826452</c:v>
                </c:pt>
                <c:pt idx="11">
                  <c:v>0.36932406667070494</c:v>
                </c:pt>
                <c:pt idx="12">
                  <c:v>0.37569985295975694</c:v>
                </c:pt>
                <c:pt idx="13">
                  <c:v>0.37973257020046303</c:v>
                </c:pt>
                <c:pt idx="14">
                  <c:v>0.38560094427655572</c:v>
                </c:pt>
                <c:pt idx="15">
                  <c:v>0.38987216212379527</c:v>
                </c:pt>
                <c:pt idx="16">
                  <c:v>0.39394974157769447</c:v>
                </c:pt>
                <c:pt idx="17">
                  <c:v>0.39713915170671604</c:v>
                </c:pt>
                <c:pt idx="18">
                  <c:v>0.40305401407490032</c:v>
                </c:pt>
                <c:pt idx="19">
                  <c:v>0.40500565222875806</c:v>
                </c:pt>
                <c:pt idx="20">
                  <c:v>0.40712156544794631</c:v>
                </c:pt>
                <c:pt idx="21">
                  <c:v>0.40931007546038939</c:v>
                </c:pt>
                <c:pt idx="22">
                  <c:v>0.40991116569167579</c:v>
                </c:pt>
                <c:pt idx="23">
                  <c:v>0.40969158374789211</c:v>
                </c:pt>
                <c:pt idx="24">
                  <c:v>0.410045217987416</c:v>
                </c:pt>
                <c:pt idx="25">
                  <c:v>0.40751244497965988</c:v>
                </c:pt>
                <c:pt idx="26">
                  <c:v>0.40872190554867754</c:v>
                </c:pt>
                <c:pt idx="27">
                  <c:v>0.40728702860950822</c:v>
                </c:pt>
                <c:pt idx="28">
                  <c:v>0.41657189287289598</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2-2257-4F6B-AB63-3DBAF1870A6A}"/>
            </c:ext>
          </c:extLst>
        </c:ser>
        <c:ser>
          <c:idx val="1"/>
          <c:order val="6"/>
          <c:tx>
            <c:strRef>
              <c:f>Summary!$B$82</c:f>
              <c:strCache>
                <c:ptCount val="1"/>
                <c:pt idx="0">
                  <c:v>Travel Time </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numRef>
              <c:f>Summary!$F$80:$AR$80</c:f>
              <c:numCache>
                <c:formatCode>0</c:formatCode>
                <c:ptCount val="3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numCache>
            </c:numRef>
          </c:cat>
          <c:val>
            <c:numRef>
              <c:f>Summary!$F$82:$AR$82</c:f>
              <c:numCache>
                <c:formatCode>_(* #,##0.00_);_(* \(#,##0.00\);_(* "-"??_);_(@_)</c:formatCode>
                <c:ptCount val="39"/>
                <c:pt idx="0">
                  <c:v>0</c:v>
                </c:pt>
                <c:pt idx="1">
                  <c:v>0</c:v>
                </c:pt>
                <c:pt idx="2">
                  <c:v>0</c:v>
                </c:pt>
                <c:pt idx="3">
                  <c:v>0</c:v>
                </c:pt>
                <c:pt idx="4">
                  <c:v>0</c:v>
                </c:pt>
                <c:pt idx="5">
                  <c:v>0</c:v>
                </c:pt>
                <c:pt idx="6">
                  <c:v>0</c:v>
                </c:pt>
                <c:pt idx="7">
                  <c:v>0</c:v>
                </c:pt>
                <c:pt idx="8">
                  <c:v>0</c:v>
                </c:pt>
                <c:pt idx="9">
                  <c:v>0.8004989329092479</c:v>
                </c:pt>
                <c:pt idx="10">
                  <c:v>0.86824793644309906</c:v>
                </c:pt>
                <c:pt idx="11">
                  <c:v>0.93119908636010285</c:v>
                </c:pt>
                <c:pt idx="12">
                  <c:v>0.98957965497457978</c:v>
                </c:pt>
                <c:pt idx="13">
                  <c:v>1.0436075850360269</c:v>
                </c:pt>
                <c:pt idx="14">
                  <c:v>1.0934918452979068</c:v>
                </c:pt>
                <c:pt idx="15">
                  <c:v>1.1394327731386726</c:v>
                </c:pt>
                <c:pt idx="16">
                  <c:v>1.1816224046922097</c:v>
                </c:pt>
                <c:pt idx="17">
                  <c:v>1.2202447929290574</c:v>
                </c:pt>
                <c:pt idx="18">
                  <c:v>1.2554763141145417</c:v>
                </c:pt>
                <c:pt idx="19">
                  <c:v>1.2874859630552085</c:v>
                </c:pt>
                <c:pt idx="20">
                  <c:v>1.3164356375307253</c:v>
                </c:pt>
                <c:pt idx="21">
                  <c:v>1.3424804122946639</c:v>
                </c:pt>
                <c:pt idx="22">
                  <c:v>1.3657688030142889</c:v>
                </c:pt>
                <c:pt idx="23">
                  <c:v>1.3864430205066784</c:v>
                </c:pt>
                <c:pt idx="24">
                  <c:v>1.4046392156160785</c:v>
                </c:pt>
                <c:pt idx="25">
                  <c:v>1.4204877150654387</c:v>
                </c:pt>
                <c:pt idx="26">
                  <c:v>1.4341132486035313</c:v>
                </c:pt>
                <c:pt idx="27">
                  <c:v>1.4456351677578401</c:v>
                </c:pt>
                <c:pt idx="28">
                  <c:v>1.455167656492699</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1-2257-4F6B-AB63-3DBAF1870A6A}"/>
            </c:ext>
          </c:extLst>
        </c:ser>
        <c:ser>
          <c:idx val="0"/>
          <c:order val="7"/>
          <c:tx>
            <c:strRef>
              <c:f>Summary!$B$81</c:f>
              <c:strCache>
                <c:ptCount val="1"/>
                <c:pt idx="0">
                  <c:v>Safety Benefits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cat>
            <c:numRef>
              <c:f>Summary!$F$80:$AR$80</c:f>
              <c:numCache>
                <c:formatCode>0</c:formatCode>
                <c:ptCount val="3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numCache>
            </c:numRef>
          </c:cat>
          <c:val>
            <c:numRef>
              <c:f>Summary!$F$81:$AR$81</c:f>
              <c:numCache>
                <c:formatCode>_(* #,##0.00_);_(* \(#,##0.00\);_(* "-"??_);_(@_)</c:formatCode>
                <c:ptCount val="39"/>
                <c:pt idx="0">
                  <c:v>0</c:v>
                </c:pt>
                <c:pt idx="1">
                  <c:v>0</c:v>
                </c:pt>
                <c:pt idx="2">
                  <c:v>0</c:v>
                </c:pt>
                <c:pt idx="3">
                  <c:v>0</c:v>
                </c:pt>
                <c:pt idx="4">
                  <c:v>0</c:v>
                </c:pt>
                <c:pt idx="5">
                  <c:v>0</c:v>
                </c:pt>
                <c:pt idx="6">
                  <c:v>0</c:v>
                </c:pt>
                <c:pt idx="7">
                  <c:v>0</c:v>
                </c:pt>
                <c:pt idx="8">
                  <c:v>0</c:v>
                </c:pt>
                <c:pt idx="9">
                  <c:v>0.20645057517687673</c:v>
                </c:pt>
                <c:pt idx="10">
                  <c:v>0.20216845476359821</c:v>
                </c:pt>
                <c:pt idx="11">
                  <c:v>0.19795719555624597</c:v>
                </c:pt>
                <c:pt idx="12">
                  <c:v>0.19381640763243532</c:v>
                </c:pt>
                <c:pt idx="13">
                  <c:v>0.18974566045399183</c:v>
                </c:pt>
                <c:pt idx="14">
                  <c:v>0.1857444856619348</c:v>
                </c:pt>
                <c:pt idx="15">
                  <c:v>0.18181237974010117</c:v>
                </c:pt>
                <c:pt idx="16">
                  <c:v>0.177948806552784</c:v>
                </c:pt>
                <c:pt idx="17">
                  <c:v>0.17415319976155227</c:v>
                </c:pt>
                <c:pt idx="18">
                  <c:v>0.17042496512622465</c:v>
                </c:pt>
                <c:pt idx="19">
                  <c:v>0.16676348269477706</c:v>
                </c:pt>
                <c:pt idx="20">
                  <c:v>0.16316810888678487</c:v>
                </c:pt>
                <c:pt idx="21">
                  <c:v>0.15963817847481998</c:v>
                </c:pt>
                <c:pt idx="22">
                  <c:v>0.15617300646805862</c:v>
                </c:pt>
                <c:pt idx="23">
                  <c:v>0.1527718899021854</c:v>
                </c:pt>
                <c:pt idx="24">
                  <c:v>0.14943410953952943</c:v>
                </c:pt>
                <c:pt idx="25">
                  <c:v>0.1461589314832098</c:v>
                </c:pt>
                <c:pt idx="26">
                  <c:v>0.1429456087089265</c:v>
                </c:pt>
                <c:pt idx="27">
                  <c:v>0.139793382517888</c:v>
                </c:pt>
                <c:pt idx="28">
                  <c:v>0.13670148391423426</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2257-4F6B-AB63-3DBAF1870A6A}"/>
            </c:ext>
          </c:extLst>
        </c:ser>
        <c:ser>
          <c:idx val="12"/>
          <c:order val="8"/>
          <c:tx>
            <c:strRef>
              <c:f>Summary!$B$88</c:f>
              <c:strCache>
                <c:ptCount val="1"/>
                <c:pt idx="0">
                  <c:v>Reduced Maintenance</c:v>
                </c:pt>
              </c:strCache>
            </c:strRef>
          </c:tx>
          <c:spPr>
            <a:gradFill rotWithShape="1">
              <a:gsLst>
                <a:gs pos="0">
                  <a:schemeClr val="accent1">
                    <a:lumMod val="80000"/>
                    <a:lumOff val="20000"/>
                    <a:satMod val="103000"/>
                    <a:lumMod val="102000"/>
                    <a:tint val="94000"/>
                  </a:schemeClr>
                </a:gs>
                <a:gs pos="50000">
                  <a:schemeClr val="accent1">
                    <a:lumMod val="80000"/>
                    <a:lumOff val="20000"/>
                    <a:satMod val="110000"/>
                    <a:lumMod val="100000"/>
                    <a:shade val="100000"/>
                  </a:schemeClr>
                </a:gs>
                <a:gs pos="100000">
                  <a:schemeClr val="accent1">
                    <a:lumMod val="80000"/>
                    <a:lumOff val="20000"/>
                    <a:lumMod val="99000"/>
                    <a:satMod val="120000"/>
                    <a:shade val="78000"/>
                  </a:schemeClr>
                </a:gs>
              </a:gsLst>
              <a:lin ang="5400000" scaled="0"/>
            </a:gradFill>
            <a:ln>
              <a:noFill/>
            </a:ln>
            <a:effectLst/>
          </c:spPr>
          <c:invertIfNegative val="0"/>
          <c:cat>
            <c:numRef>
              <c:f>Summary!$F$80:$AR$80</c:f>
              <c:numCache>
                <c:formatCode>0</c:formatCode>
                <c:ptCount val="3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numCache>
            </c:numRef>
          </c:cat>
          <c:val>
            <c:numRef>
              <c:f>Summary!$F$88:$AR$88</c:f>
              <c:numCache>
                <c:formatCode>_(* #,##0.00_);_(* \(#,##0.00\);_(* "-"??_);_(@_)</c:formatCode>
                <c:ptCount val="39"/>
                <c:pt idx="0">
                  <c:v>0</c:v>
                </c:pt>
                <c:pt idx="1">
                  <c:v>0</c:v>
                </c:pt>
                <c:pt idx="2">
                  <c:v>0</c:v>
                </c:pt>
                <c:pt idx="3">
                  <c:v>0</c:v>
                </c:pt>
                <c:pt idx="4">
                  <c:v>0</c:v>
                </c:pt>
                <c:pt idx="5">
                  <c:v>0</c:v>
                </c:pt>
                <c:pt idx="6">
                  <c:v>0</c:v>
                </c:pt>
                <c:pt idx="7">
                  <c:v>0</c:v>
                </c:pt>
                <c:pt idx="8">
                  <c:v>0</c:v>
                </c:pt>
                <c:pt idx="9">
                  <c:v>-0.27202333436750414</c:v>
                </c:pt>
                <c:pt idx="10">
                  <c:v>0</c:v>
                </c:pt>
                <c:pt idx="11">
                  <c:v>0</c:v>
                </c:pt>
                <c:pt idx="12">
                  <c:v>1.1432130069408488</c:v>
                </c:pt>
                <c:pt idx="13">
                  <c:v>0</c:v>
                </c:pt>
                <c:pt idx="14">
                  <c:v>0</c:v>
                </c:pt>
                <c:pt idx="15">
                  <c:v>0</c:v>
                </c:pt>
                <c:pt idx="16">
                  <c:v>0</c:v>
                </c:pt>
                <c:pt idx="17">
                  <c:v>0.6087917985481166</c:v>
                </c:pt>
                <c:pt idx="18">
                  <c:v>0</c:v>
                </c:pt>
                <c:pt idx="19">
                  <c:v>0</c:v>
                </c:pt>
                <c:pt idx="20">
                  <c:v>0</c:v>
                </c:pt>
                <c:pt idx="21">
                  <c:v>0</c:v>
                </c:pt>
                <c:pt idx="22">
                  <c:v>0</c:v>
                </c:pt>
                <c:pt idx="23">
                  <c:v>0</c:v>
                </c:pt>
                <c:pt idx="24">
                  <c:v>0</c:v>
                </c:pt>
                <c:pt idx="25">
                  <c:v>0</c:v>
                </c:pt>
                <c:pt idx="26">
                  <c:v>0</c:v>
                </c:pt>
                <c:pt idx="27">
                  <c:v>0.72318128354455868</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C-2257-4F6B-AB63-3DBAF1870A6A}"/>
            </c:ext>
          </c:extLst>
        </c:ser>
        <c:ser>
          <c:idx val="11"/>
          <c:order val="9"/>
          <c:tx>
            <c:strRef>
              <c:f>Summary!$B$93</c:f>
              <c:strCache>
                <c:ptCount val="1"/>
                <c:pt idx="0">
                  <c:v>Capital Cost</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c:spPr>
          <c:invertIfNegative val="0"/>
          <c:cat>
            <c:numRef>
              <c:f>Summary!$F$80:$AR$80</c:f>
              <c:numCache>
                <c:formatCode>0</c:formatCode>
                <c:ptCount val="39"/>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numCache>
            </c:numRef>
          </c:cat>
          <c:val>
            <c:numRef>
              <c:f>Summary!$F$93:$AR$93</c:f>
              <c:numCache>
                <c:formatCode>_(* #,##0.00_);_(* \(#,##0.00\);_(* "-"??_);_(@_)</c:formatCode>
                <c:ptCount val="39"/>
                <c:pt idx="0">
                  <c:v>0</c:v>
                </c:pt>
                <c:pt idx="1">
                  <c:v>0</c:v>
                </c:pt>
                <c:pt idx="2">
                  <c:v>0</c:v>
                </c:pt>
                <c:pt idx="3">
                  <c:v>0</c:v>
                </c:pt>
                <c:pt idx="4">
                  <c:v>0</c:v>
                </c:pt>
                <c:pt idx="5">
                  <c:v>0</c:v>
                </c:pt>
                <c:pt idx="6">
                  <c:v>-2.3237086109699892</c:v>
                </c:pt>
                <c:pt idx="7">
                  <c:v>-10.9696582615832</c:v>
                </c:pt>
                <c:pt idx="8">
                  <c:v>-10.63982372607488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B-2257-4F6B-AB63-3DBAF1870A6A}"/>
            </c:ext>
          </c:extLst>
        </c:ser>
        <c:dLbls>
          <c:showLegendKey val="0"/>
          <c:showVal val="0"/>
          <c:showCatName val="0"/>
          <c:showSerName val="0"/>
          <c:showPercent val="0"/>
          <c:showBubbleSize val="0"/>
        </c:dLbls>
        <c:gapWidth val="28"/>
        <c:overlap val="100"/>
        <c:axId val="1165317983"/>
        <c:axId val="1165329631"/>
      </c:barChart>
      <c:dateAx>
        <c:axId val="1165317983"/>
        <c:scaling>
          <c:orientation val="minMax"/>
          <c:min val="2023"/>
        </c:scaling>
        <c:delete val="0"/>
        <c:axPos val="b"/>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*3.1% discount factor includes 2% discount for CO2</a:t>
                </a:r>
              </a:p>
            </c:rich>
          </c:tx>
          <c:layout>
            <c:manualLayout>
              <c:xMode val="edge"/>
              <c:yMode val="edge"/>
              <c:x val="0.33038306381915028"/>
              <c:y val="0.9307065616797898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65329631"/>
        <c:crosses val="autoZero"/>
        <c:auto val="0"/>
        <c:lblOffset val="100"/>
        <c:baseTimeUnit val="days"/>
      </c:dateAx>
      <c:valAx>
        <c:axId val="1165329631"/>
        <c:scaling>
          <c:orientation val="minMax"/>
        </c:scaling>
        <c:delete val="0"/>
        <c:axPos val="l"/>
        <c:majorGridlines>
          <c:spPr>
            <a:ln w="9525" cap="flat" cmpd="sng" algn="ctr">
              <a:solidFill>
                <a:schemeClr val="tx2">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 millions ($2023)</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16531798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Breakdown of Present Value of Benefits</a:t>
            </a:r>
          </a:p>
          <a:p>
            <a:pPr>
              <a:defRPr/>
            </a:pPr>
            <a:r>
              <a:rPr lang="en-US"/>
              <a:t>Discounted at 3.1% (CO2 discounted @ 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BA1-4420-96AC-F717026DEAB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BA1-4420-96AC-F717026DEAB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BA1-4420-96AC-F717026DEAB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BA1-4420-96AC-F717026DEAB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BA1-4420-96AC-F717026DEAB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BA1-4420-96AC-F717026DEABF}"/>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BA1-4420-96AC-F717026DEABF}"/>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CBA1-4420-96AC-F717026DEABF}"/>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CBA1-4420-96AC-F717026DEAB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Summary!$B$13:$B$21</c:f>
              <c:strCache>
                <c:ptCount val="9"/>
                <c:pt idx="0">
                  <c:v>Safety Benefits</c:v>
                </c:pt>
                <c:pt idx="1">
                  <c:v>Travel Time </c:v>
                </c:pt>
                <c:pt idx="2">
                  <c:v>Reduced Vehicle Operating Costs</c:v>
                </c:pt>
                <c:pt idx="3">
                  <c:v>Emissions Reduction*</c:v>
                </c:pt>
                <c:pt idx="4">
                  <c:v>Pedestrian / Cycling Improvements</c:v>
                </c:pt>
                <c:pt idx="5">
                  <c:v>Induced Pedestrian Demand</c:v>
                </c:pt>
                <c:pt idx="6">
                  <c:v>Reduced Bridge Hits</c:v>
                </c:pt>
                <c:pt idx="7">
                  <c:v>Reduced Maintenance Costs</c:v>
                </c:pt>
                <c:pt idx="8">
                  <c:v>Residual Value</c:v>
                </c:pt>
              </c:strCache>
            </c:strRef>
          </c:cat>
          <c:val>
            <c:numRef>
              <c:f>Summary!$F$13:$F$21</c:f>
              <c:numCache>
                <c:formatCode>0.0%</c:formatCode>
                <c:ptCount val="9"/>
                <c:pt idx="0">
                  <c:v>7.8175548013646221E-2</c:v>
                </c:pt>
                <c:pt idx="1">
                  <c:v>0.56164106082964771</c:v>
                </c:pt>
                <c:pt idx="2">
                  <c:v>0.18209184069171705</c:v>
                </c:pt>
                <c:pt idx="3">
                  <c:v>4.6845431717860786E-3</c:v>
                </c:pt>
                <c:pt idx="4">
                  <c:v>8.080940737546255E-2</c:v>
                </c:pt>
                <c:pt idx="5">
                  <c:v>4.1312837165270865E-2</c:v>
                </c:pt>
                <c:pt idx="6">
                  <c:v>5.3487698421289954E-4</c:v>
                </c:pt>
                <c:pt idx="7">
                  <c:v>5.0749885768256606E-2</c:v>
                </c:pt>
                <c:pt idx="8">
                  <c:v>0</c:v>
                </c:pt>
              </c:numCache>
            </c:numRef>
          </c:val>
          <c:extLst>
            <c:ext xmlns:c16="http://schemas.microsoft.com/office/drawing/2014/chart" uri="{C3380CC4-5D6E-409C-BE32-E72D297353CC}">
              <c16:uniqueId val="{00000000-96F8-47ED-A323-3A9AFC849DD2}"/>
            </c:ext>
          </c:extLst>
        </c:ser>
        <c:dLbls>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6</xdr:col>
      <xdr:colOff>142874</xdr:colOff>
      <xdr:row>10</xdr:row>
      <xdr:rowOff>28574</xdr:rowOff>
    </xdr:from>
    <xdr:to>
      <xdr:col>16</xdr:col>
      <xdr:colOff>400049</xdr:colOff>
      <xdr:row>35</xdr:row>
      <xdr:rowOff>47624</xdr:rowOff>
    </xdr:to>
    <xdr:graphicFrame macro="">
      <xdr:nvGraphicFramePr>
        <xdr:cNvPr id="5" name="Chart 1">
          <a:extLst>
            <a:ext uri="{FF2B5EF4-FFF2-40B4-BE49-F238E27FC236}">
              <a16:creationId xmlns:a16="http://schemas.microsoft.com/office/drawing/2014/main" id="{8F9B3F7D-EE47-40D9-BEBC-30B7EEE6F7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519112</xdr:colOff>
      <xdr:row>10</xdr:row>
      <xdr:rowOff>42861</xdr:rowOff>
    </xdr:from>
    <xdr:to>
      <xdr:col>22</xdr:col>
      <xdr:colOff>876300</xdr:colOff>
      <xdr:row>35</xdr:row>
      <xdr:rowOff>28574</xdr:rowOff>
    </xdr:to>
    <xdr:graphicFrame macro="">
      <xdr:nvGraphicFramePr>
        <xdr:cNvPr id="2" name="Chart 1">
          <a:extLst>
            <a:ext uri="{FF2B5EF4-FFF2-40B4-BE49-F238E27FC236}">
              <a16:creationId xmlns:a16="http://schemas.microsoft.com/office/drawing/2014/main" id="{6606F5BC-C543-7260-B76A-D437ADDFC4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390525</xdr:colOff>
      <xdr:row>147</xdr:row>
      <xdr:rowOff>114300</xdr:rowOff>
    </xdr:from>
    <xdr:to>
      <xdr:col>3</xdr:col>
      <xdr:colOff>800100</xdr:colOff>
      <xdr:row>147</xdr:row>
      <xdr:rowOff>123825</xdr:rowOff>
    </xdr:to>
    <xdr:cxnSp macro="">
      <xdr:nvCxnSpPr>
        <xdr:cNvPr id="3" name="Straight Arrow Connector 2">
          <a:extLst>
            <a:ext uri="{FF2B5EF4-FFF2-40B4-BE49-F238E27FC236}">
              <a16:creationId xmlns:a16="http://schemas.microsoft.com/office/drawing/2014/main" id="{389F3AA6-BF08-3824-0A72-4E5CB0EFBAE4}"/>
            </a:ext>
          </a:extLst>
        </xdr:cNvPr>
        <xdr:cNvCxnSpPr/>
      </xdr:nvCxnSpPr>
      <xdr:spPr>
        <a:xfrm>
          <a:off x="17945100" y="52892325"/>
          <a:ext cx="1943100"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0</xdr:colOff>
      <xdr:row>41</xdr:row>
      <xdr:rowOff>0</xdr:rowOff>
    </xdr:from>
    <xdr:to>
      <xdr:col>7</xdr:col>
      <xdr:colOff>117555</xdr:colOff>
      <xdr:row>75</xdr:row>
      <xdr:rowOff>41094</xdr:rowOff>
    </xdr:to>
    <xdr:pic>
      <xdr:nvPicPr>
        <xdr:cNvPr id="2" name="Picture 1">
          <a:extLst>
            <a:ext uri="{FF2B5EF4-FFF2-40B4-BE49-F238E27FC236}">
              <a16:creationId xmlns:a16="http://schemas.microsoft.com/office/drawing/2014/main" id="{8392E03B-5952-1A19-06B4-FF55F8DEFC8B}"/>
            </a:ext>
          </a:extLst>
        </xdr:cNvPr>
        <xdr:cNvPicPr>
          <a:picLocks noChangeAspect="1"/>
        </xdr:cNvPicPr>
      </xdr:nvPicPr>
      <xdr:blipFill>
        <a:blip xmlns:r="http://schemas.openxmlformats.org/officeDocument/2006/relationships" r:embed="rId1"/>
        <a:stretch>
          <a:fillRect/>
        </a:stretch>
      </xdr:blipFill>
      <xdr:spPr>
        <a:xfrm>
          <a:off x="3286125" y="8620125"/>
          <a:ext cx="4438095" cy="6523809"/>
        </a:xfrm>
        <a:prstGeom prst="rect">
          <a:avLst/>
        </a:prstGeom>
      </xdr:spPr>
    </xdr:pic>
    <xdr:clientData/>
  </xdr:twoCellAnchor>
  <xdr:twoCellAnchor editAs="oneCell">
    <xdr:from>
      <xdr:col>3</xdr:col>
      <xdr:colOff>0</xdr:colOff>
      <xdr:row>77</xdr:row>
      <xdr:rowOff>0</xdr:rowOff>
    </xdr:from>
    <xdr:to>
      <xdr:col>7</xdr:col>
      <xdr:colOff>79460</xdr:colOff>
      <xdr:row>98</xdr:row>
      <xdr:rowOff>148073</xdr:rowOff>
    </xdr:to>
    <xdr:pic>
      <xdr:nvPicPr>
        <xdr:cNvPr id="4" name="Picture 3">
          <a:extLst>
            <a:ext uri="{FF2B5EF4-FFF2-40B4-BE49-F238E27FC236}">
              <a16:creationId xmlns:a16="http://schemas.microsoft.com/office/drawing/2014/main" id="{F4AEBBFE-BD36-081F-5063-7CB2FF68EE58}"/>
            </a:ext>
          </a:extLst>
        </xdr:cNvPr>
        <xdr:cNvPicPr>
          <a:picLocks noChangeAspect="1"/>
        </xdr:cNvPicPr>
      </xdr:nvPicPr>
      <xdr:blipFill>
        <a:blip xmlns:r="http://schemas.openxmlformats.org/officeDocument/2006/relationships" r:embed="rId2"/>
        <a:stretch>
          <a:fillRect/>
        </a:stretch>
      </xdr:blipFill>
      <xdr:spPr>
        <a:xfrm>
          <a:off x="3286125" y="15478125"/>
          <a:ext cx="4400000" cy="4133333"/>
        </a:xfrm>
        <a:prstGeom prst="rect">
          <a:avLst/>
        </a:prstGeom>
      </xdr:spPr>
    </xdr:pic>
    <xdr:clientData/>
  </xdr:twoCellAnchor>
  <xdr:twoCellAnchor editAs="oneCell">
    <xdr:from>
      <xdr:col>8</xdr:col>
      <xdr:colOff>0</xdr:colOff>
      <xdr:row>41</xdr:row>
      <xdr:rowOff>0</xdr:rowOff>
    </xdr:from>
    <xdr:to>
      <xdr:col>10</xdr:col>
      <xdr:colOff>1756812</xdr:colOff>
      <xdr:row>76</xdr:row>
      <xdr:rowOff>2975</xdr:rowOff>
    </xdr:to>
    <xdr:pic>
      <xdr:nvPicPr>
        <xdr:cNvPr id="5" name="Picture 4">
          <a:extLst>
            <a:ext uri="{FF2B5EF4-FFF2-40B4-BE49-F238E27FC236}">
              <a16:creationId xmlns:a16="http://schemas.microsoft.com/office/drawing/2014/main" id="{87314FB7-2DD1-582B-C273-E4F2A717F974}"/>
            </a:ext>
          </a:extLst>
        </xdr:cNvPr>
        <xdr:cNvPicPr>
          <a:picLocks noChangeAspect="1"/>
        </xdr:cNvPicPr>
      </xdr:nvPicPr>
      <xdr:blipFill>
        <a:blip xmlns:r="http://schemas.openxmlformats.org/officeDocument/2006/relationships" r:embed="rId3"/>
        <a:stretch>
          <a:fillRect/>
        </a:stretch>
      </xdr:blipFill>
      <xdr:spPr>
        <a:xfrm>
          <a:off x="8620125" y="8620125"/>
          <a:ext cx="4400000" cy="6676190"/>
        </a:xfrm>
        <a:prstGeom prst="rect">
          <a:avLst/>
        </a:prstGeom>
      </xdr:spPr>
    </xdr:pic>
    <xdr:clientData/>
  </xdr:twoCellAnchor>
  <xdr:twoCellAnchor editAs="oneCell">
    <xdr:from>
      <xdr:col>8</xdr:col>
      <xdr:colOff>0</xdr:colOff>
      <xdr:row>79</xdr:row>
      <xdr:rowOff>0</xdr:rowOff>
    </xdr:from>
    <xdr:to>
      <xdr:col>10</xdr:col>
      <xdr:colOff>1718716</xdr:colOff>
      <xdr:row>94</xdr:row>
      <xdr:rowOff>3452</xdr:rowOff>
    </xdr:to>
    <xdr:pic>
      <xdr:nvPicPr>
        <xdr:cNvPr id="6" name="Picture 5">
          <a:extLst>
            <a:ext uri="{FF2B5EF4-FFF2-40B4-BE49-F238E27FC236}">
              <a16:creationId xmlns:a16="http://schemas.microsoft.com/office/drawing/2014/main" id="{458E14CF-422D-8F46-9C1D-CFDF28AD41B4}"/>
            </a:ext>
          </a:extLst>
        </xdr:cNvPr>
        <xdr:cNvPicPr>
          <a:picLocks noChangeAspect="1"/>
        </xdr:cNvPicPr>
      </xdr:nvPicPr>
      <xdr:blipFill>
        <a:blip xmlns:r="http://schemas.openxmlformats.org/officeDocument/2006/relationships" r:embed="rId4"/>
        <a:stretch>
          <a:fillRect/>
        </a:stretch>
      </xdr:blipFill>
      <xdr:spPr>
        <a:xfrm>
          <a:off x="8620125" y="15859125"/>
          <a:ext cx="4371429" cy="2866667"/>
        </a:xfrm>
        <a:prstGeom prst="rect">
          <a:avLst/>
        </a:prstGeom>
      </xdr:spPr>
    </xdr:pic>
    <xdr:clientData/>
  </xdr:twoCellAnchor>
  <xdr:twoCellAnchor editAs="oneCell">
    <xdr:from>
      <xdr:col>8</xdr:col>
      <xdr:colOff>0</xdr:colOff>
      <xdr:row>96</xdr:row>
      <xdr:rowOff>0</xdr:rowOff>
    </xdr:from>
    <xdr:to>
      <xdr:col>10</xdr:col>
      <xdr:colOff>1794907</xdr:colOff>
      <xdr:row>124</xdr:row>
      <xdr:rowOff>33620</xdr:rowOff>
    </xdr:to>
    <xdr:pic>
      <xdr:nvPicPr>
        <xdr:cNvPr id="7" name="Picture 6">
          <a:extLst>
            <a:ext uri="{FF2B5EF4-FFF2-40B4-BE49-F238E27FC236}">
              <a16:creationId xmlns:a16="http://schemas.microsoft.com/office/drawing/2014/main" id="{6AA16203-E63C-5A76-A0B3-AB2F78AB37AE}"/>
            </a:ext>
          </a:extLst>
        </xdr:cNvPr>
        <xdr:cNvPicPr>
          <a:picLocks noChangeAspect="1"/>
        </xdr:cNvPicPr>
      </xdr:nvPicPr>
      <xdr:blipFill>
        <a:blip xmlns:r="http://schemas.openxmlformats.org/officeDocument/2006/relationships" r:embed="rId5"/>
        <a:stretch>
          <a:fillRect/>
        </a:stretch>
      </xdr:blipFill>
      <xdr:spPr>
        <a:xfrm>
          <a:off x="8620125" y="19097625"/>
          <a:ext cx="4438095" cy="5361905"/>
        </a:xfrm>
        <a:prstGeom prst="rect">
          <a:avLst/>
        </a:prstGeom>
      </xdr:spPr>
    </xdr:pic>
    <xdr:clientData/>
  </xdr:twoCellAnchor>
  <xdr:twoCellAnchor>
    <xdr:from>
      <xdr:col>10</xdr:col>
      <xdr:colOff>1670538</xdr:colOff>
      <xdr:row>123</xdr:row>
      <xdr:rowOff>117231</xdr:rowOff>
    </xdr:from>
    <xdr:to>
      <xdr:col>11</xdr:col>
      <xdr:colOff>205153</xdr:colOff>
      <xdr:row>123</xdr:row>
      <xdr:rowOff>124558</xdr:rowOff>
    </xdr:to>
    <xdr:cxnSp macro="">
      <xdr:nvCxnSpPr>
        <xdr:cNvPr id="9" name="Straight Arrow Connector 8">
          <a:extLst>
            <a:ext uri="{FF2B5EF4-FFF2-40B4-BE49-F238E27FC236}">
              <a16:creationId xmlns:a16="http://schemas.microsoft.com/office/drawing/2014/main" id="{E7B57EB6-1889-6DF0-236B-30AC845D331A}"/>
            </a:ext>
          </a:extLst>
        </xdr:cNvPr>
        <xdr:cNvCxnSpPr/>
      </xdr:nvCxnSpPr>
      <xdr:spPr>
        <a:xfrm flipV="1">
          <a:off x="12954000" y="24596481"/>
          <a:ext cx="1582615" cy="732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1589599</xdr:colOff>
      <xdr:row>102</xdr:row>
      <xdr:rowOff>76200</xdr:rowOff>
    </xdr:from>
    <xdr:to>
      <xdr:col>11</xdr:col>
      <xdr:colOff>15240</xdr:colOff>
      <xdr:row>103</xdr:row>
      <xdr:rowOff>73588</xdr:rowOff>
    </xdr:to>
    <xdr:cxnSp macro="">
      <xdr:nvCxnSpPr>
        <xdr:cNvPr id="12" name="Straight Arrow Connector 11">
          <a:extLst>
            <a:ext uri="{FF2B5EF4-FFF2-40B4-BE49-F238E27FC236}">
              <a16:creationId xmlns:a16="http://schemas.microsoft.com/office/drawing/2014/main" id="{A10C5F58-F777-4585-AFAA-0E32A23BAD0C}"/>
            </a:ext>
          </a:extLst>
        </xdr:cNvPr>
        <xdr:cNvCxnSpPr/>
      </xdr:nvCxnSpPr>
      <xdr:spPr>
        <a:xfrm flipV="1">
          <a:off x="12783379" y="20551140"/>
          <a:ext cx="1587941" cy="18788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1143000</xdr:colOff>
      <xdr:row>100</xdr:row>
      <xdr:rowOff>7620</xdr:rowOff>
    </xdr:from>
    <xdr:to>
      <xdr:col>10</xdr:col>
      <xdr:colOff>1554480</xdr:colOff>
      <xdr:row>101</xdr:row>
      <xdr:rowOff>91440</xdr:rowOff>
    </xdr:to>
    <xdr:sp macro="" textlink="">
      <xdr:nvSpPr>
        <xdr:cNvPr id="3" name="Rectangle 2">
          <a:extLst>
            <a:ext uri="{FF2B5EF4-FFF2-40B4-BE49-F238E27FC236}">
              <a16:creationId xmlns:a16="http://schemas.microsoft.com/office/drawing/2014/main" id="{9F228670-67B1-F6FD-4F5F-CD64F1874521}"/>
            </a:ext>
          </a:extLst>
        </xdr:cNvPr>
        <xdr:cNvSpPr/>
      </xdr:nvSpPr>
      <xdr:spPr>
        <a:xfrm>
          <a:off x="12336780" y="20101560"/>
          <a:ext cx="411480" cy="27432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1607820</xdr:colOff>
      <xdr:row>99</xdr:row>
      <xdr:rowOff>114300</xdr:rowOff>
    </xdr:from>
    <xdr:to>
      <xdr:col>11</xdr:col>
      <xdr:colOff>19050</xdr:colOff>
      <xdr:row>100</xdr:row>
      <xdr:rowOff>45720</xdr:rowOff>
    </xdr:to>
    <xdr:cxnSp macro="">
      <xdr:nvCxnSpPr>
        <xdr:cNvPr id="8" name="Straight Arrow Connector 7">
          <a:extLst>
            <a:ext uri="{FF2B5EF4-FFF2-40B4-BE49-F238E27FC236}">
              <a16:creationId xmlns:a16="http://schemas.microsoft.com/office/drawing/2014/main" id="{9B5824C9-A17F-421C-9028-D5FD33863042}"/>
            </a:ext>
          </a:extLst>
        </xdr:cNvPr>
        <xdr:cNvCxnSpPr/>
      </xdr:nvCxnSpPr>
      <xdr:spPr>
        <a:xfrm flipV="1">
          <a:off x="12801600" y="20017740"/>
          <a:ext cx="1573530" cy="1219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1638300</xdr:colOff>
      <xdr:row>100</xdr:row>
      <xdr:rowOff>114300</xdr:rowOff>
    </xdr:from>
    <xdr:to>
      <xdr:col>11</xdr:col>
      <xdr:colOff>19050</xdr:colOff>
      <xdr:row>100</xdr:row>
      <xdr:rowOff>144780</xdr:rowOff>
    </xdr:to>
    <xdr:cxnSp macro="">
      <xdr:nvCxnSpPr>
        <xdr:cNvPr id="20" name="Straight Arrow Connector 19">
          <a:extLst>
            <a:ext uri="{FF2B5EF4-FFF2-40B4-BE49-F238E27FC236}">
              <a16:creationId xmlns:a16="http://schemas.microsoft.com/office/drawing/2014/main" id="{5D83DD2E-F271-46D9-A267-C24A39790911}"/>
            </a:ext>
          </a:extLst>
        </xdr:cNvPr>
        <xdr:cNvCxnSpPr/>
      </xdr:nvCxnSpPr>
      <xdr:spPr>
        <a:xfrm flipV="1">
          <a:off x="12832080" y="20208240"/>
          <a:ext cx="1543050" cy="304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1630680</xdr:colOff>
      <xdr:row>101</xdr:row>
      <xdr:rowOff>68580</xdr:rowOff>
    </xdr:from>
    <xdr:to>
      <xdr:col>11</xdr:col>
      <xdr:colOff>19050</xdr:colOff>
      <xdr:row>101</xdr:row>
      <xdr:rowOff>114300</xdr:rowOff>
    </xdr:to>
    <xdr:cxnSp macro="">
      <xdr:nvCxnSpPr>
        <xdr:cNvPr id="21" name="Straight Arrow Connector 20">
          <a:extLst>
            <a:ext uri="{FF2B5EF4-FFF2-40B4-BE49-F238E27FC236}">
              <a16:creationId xmlns:a16="http://schemas.microsoft.com/office/drawing/2014/main" id="{D1A3D42A-3385-487B-8006-A196FAE3E1EE}"/>
            </a:ext>
          </a:extLst>
        </xdr:cNvPr>
        <xdr:cNvCxnSpPr/>
      </xdr:nvCxnSpPr>
      <xdr:spPr>
        <a:xfrm>
          <a:off x="12824460" y="20353020"/>
          <a:ext cx="1550670" cy="457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57</xdr:row>
      <xdr:rowOff>0</xdr:rowOff>
    </xdr:from>
    <xdr:to>
      <xdr:col>25</xdr:col>
      <xdr:colOff>415214</xdr:colOff>
      <xdr:row>96</xdr:row>
      <xdr:rowOff>33426</xdr:rowOff>
    </xdr:to>
    <xdr:pic>
      <xdr:nvPicPr>
        <xdr:cNvPr id="2" name="Picture 1">
          <a:extLst>
            <a:ext uri="{FF2B5EF4-FFF2-40B4-BE49-F238E27FC236}">
              <a16:creationId xmlns:a16="http://schemas.microsoft.com/office/drawing/2014/main" id="{5B665E5A-1206-2199-4FD7-A2F7B68BB480}"/>
            </a:ext>
          </a:extLst>
        </xdr:cNvPr>
        <xdr:cNvPicPr>
          <a:picLocks noChangeAspect="1"/>
        </xdr:cNvPicPr>
      </xdr:nvPicPr>
      <xdr:blipFill>
        <a:blip xmlns:r="http://schemas.openxmlformats.org/officeDocument/2006/relationships" r:embed="rId1"/>
        <a:stretch>
          <a:fillRect/>
        </a:stretch>
      </xdr:blipFill>
      <xdr:spPr>
        <a:xfrm>
          <a:off x="3914775" y="8372475"/>
          <a:ext cx="13108229" cy="7459116"/>
        </a:xfrm>
        <a:prstGeom prst="rect">
          <a:avLst/>
        </a:prstGeom>
      </xdr:spPr>
    </xdr:pic>
    <xdr:clientData/>
  </xdr:twoCellAnchor>
  <xdr:twoCellAnchor>
    <xdr:from>
      <xdr:col>9</xdr:col>
      <xdr:colOff>65943</xdr:colOff>
      <xdr:row>87</xdr:row>
      <xdr:rowOff>175846</xdr:rowOff>
    </xdr:from>
    <xdr:to>
      <xdr:col>10</xdr:col>
      <xdr:colOff>234462</xdr:colOff>
      <xdr:row>97</xdr:row>
      <xdr:rowOff>29307</xdr:rowOff>
    </xdr:to>
    <xdr:sp macro="" textlink="">
      <xdr:nvSpPr>
        <xdr:cNvPr id="3" name="Rectangle: Rounded Corners 2">
          <a:extLst>
            <a:ext uri="{FF2B5EF4-FFF2-40B4-BE49-F238E27FC236}">
              <a16:creationId xmlns:a16="http://schemas.microsoft.com/office/drawing/2014/main" id="{EE08866E-B2EC-50BF-8215-DEE9D98DFCB4}"/>
            </a:ext>
          </a:extLst>
        </xdr:cNvPr>
        <xdr:cNvSpPr/>
      </xdr:nvSpPr>
      <xdr:spPr>
        <a:xfrm>
          <a:off x="6411058" y="14221558"/>
          <a:ext cx="776654" cy="1758461"/>
        </a:xfrm>
        <a:prstGeom prst="roundRect">
          <a:avLst/>
        </a:prstGeom>
        <a:noFill/>
        <a:ln w="762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0</xdr:colOff>
      <xdr:row>108</xdr:row>
      <xdr:rowOff>0</xdr:rowOff>
    </xdr:from>
    <xdr:to>
      <xdr:col>25</xdr:col>
      <xdr:colOff>148754</xdr:colOff>
      <xdr:row>146</xdr:row>
      <xdr:rowOff>2917</xdr:rowOff>
    </xdr:to>
    <xdr:pic>
      <xdr:nvPicPr>
        <xdr:cNvPr id="4" name="Picture 3">
          <a:extLst>
            <a:ext uri="{FF2B5EF4-FFF2-40B4-BE49-F238E27FC236}">
              <a16:creationId xmlns:a16="http://schemas.microsoft.com/office/drawing/2014/main" id="{E3978922-7371-68AE-40A4-CDE55BDD5208}"/>
            </a:ext>
          </a:extLst>
        </xdr:cNvPr>
        <xdr:cNvPicPr>
          <a:picLocks noChangeAspect="1"/>
        </xdr:cNvPicPr>
      </xdr:nvPicPr>
      <xdr:blipFill>
        <a:blip xmlns:r="http://schemas.openxmlformats.org/officeDocument/2006/relationships" r:embed="rId2"/>
        <a:stretch>
          <a:fillRect/>
        </a:stretch>
      </xdr:blipFill>
      <xdr:spPr>
        <a:xfrm>
          <a:off x="3932464" y="16832036"/>
          <a:ext cx="12879597" cy="7249537"/>
        </a:xfrm>
        <a:prstGeom prst="rect">
          <a:avLst/>
        </a:prstGeom>
      </xdr:spPr>
    </xdr:pic>
    <xdr:clientData/>
  </xdr:twoCellAnchor>
  <xdr:twoCellAnchor>
    <xdr:from>
      <xdr:col>8</xdr:col>
      <xdr:colOff>581025</xdr:colOff>
      <xdr:row>136</xdr:row>
      <xdr:rowOff>164646</xdr:rowOff>
    </xdr:from>
    <xdr:to>
      <xdr:col>10</xdr:col>
      <xdr:colOff>139944</xdr:colOff>
      <xdr:row>146</xdr:row>
      <xdr:rowOff>18107</xdr:rowOff>
    </xdr:to>
    <xdr:sp macro="" textlink="">
      <xdr:nvSpPr>
        <xdr:cNvPr id="5" name="Rectangle: Rounded Corners 4">
          <a:extLst>
            <a:ext uri="{FF2B5EF4-FFF2-40B4-BE49-F238E27FC236}">
              <a16:creationId xmlns:a16="http://schemas.microsoft.com/office/drawing/2014/main" id="{70BE4513-BB4F-470D-A51F-A831357D58F9}"/>
            </a:ext>
          </a:extLst>
        </xdr:cNvPr>
        <xdr:cNvSpPr/>
      </xdr:nvSpPr>
      <xdr:spPr>
        <a:xfrm>
          <a:off x="7743825" y="26482221"/>
          <a:ext cx="778119" cy="1758461"/>
        </a:xfrm>
        <a:prstGeom prst="roundRect">
          <a:avLst/>
        </a:prstGeom>
        <a:noFill/>
        <a:ln w="762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114300</xdr:colOff>
      <xdr:row>71</xdr:row>
      <xdr:rowOff>0</xdr:rowOff>
    </xdr:from>
    <xdr:to>
      <xdr:col>8</xdr:col>
      <xdr:colOff>590550</xdr:colOff>
      <xdr:row>92</xdr:row>
      <xdr:rowOff>85725</xdr:rowOff>
    </xdr:to>
    <xdr:cxnSp macro="">
      <xdr:nvCxnSpPr>
        <xdr:cNvPr id="7" name="Straight Arrow Connector 6">
          <a:extLst>
            <a:ext uri="{FF2B5EF4-FFF2-40B4-BE49-F238E27FC236}">
              <a16:creationId xmlns:a16="http://schemas.microsoft.com/office/drawing/2014/main" id="{B11986EF-B481-03DF-7E01-511EE1797884}"/>
            </a:ext>
          </a:extLst>
        </xdr:cNvPr>
        <xdr:cNvCxnSpPr/>
      </xdr:nvCxnSpPr>
      <xdr:spPr>
        <a:xfrm flipH="1" flipV="1">
          <a:off x="3419475" y="13935075"/>
          <a:ext cx="2914650" cy="4086225"/>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19050</xdr:colOff>
      <xdr:row>53</xdr:row>
      <xdr:rowOff>104775</xdr:rowOff>
    </xdr:from>
    <xdr:to>
      <xdr:col>14</xdr:col>
      <xdr:colOff>66675</xdr:colOff>
      <xdr:row>60</xdr:row>
      <xdr:rowOff>142875</xdr:rowOff>
    </xdr:to>
    <xdr:cxnSp macro="">
      <xdr:nvCxnSpPr>
        <xdr:cNvPr id="8" name="Straight Arrow Connector 7">
          <a:extLst>
            <a:ext uri="{FF2B5EF4-FFF2-40B4-BE49-F238E27FC236}">
              <a16:creationId xmlns:a16="http://schemas.microsoft.com/office/drawing/2014/main" id="{89D44FD7-C714-4573-BE2C-CF1C48895499}"/>
            </a:ext>
          </a:extLst>
        </xdr:cNvPr>
        <xdr:cNvCxnSpPr/>
      </xdr:nvCxnSpPr>
      <xdr:spPr>
        <a:xfrm flipH="1" flipV="1">
          <a:off x="8810625" y="10610850"/>
          <a:ext cx="657225" cy="137160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409575</xdr:colOff>
      <xdr:row>117</xdr:row>
      <xdr:rowOff>142875</xdr:rowOff>
    </xdr:from>
    <xdr:to>
      <xdr:col>9</xdr:col>
      <xdr:colOff>47625</xdr:colOff>
      <xdr:row>142</xdr:row>
      <xdr:rowOff>66675</xdr:rowOff>
    </xdr:to>
    <xdr:cxnSp macro="">
      <xdr:nvCxnSpPr>
        <xdr:cNvPr id="10" name="Straight Arrow Connector 9">
          <a:extLst>
            <a:ext uri="{FF2B5EF4-FFF2-40B4-BE49-F238E27FC236}">
              <a16:creationId xmlns:a16="http://schemas.microsoft.com/office/drawing/2014/main" id="{DA5C7381-A19D-401C-864A-48078656D0DA}"/>
            </a:ext>
          </a:extLst>
        </xdr:cNvPr>
        <xdr:cNvCxnSpPr/>
      </xdr:nvCxnSpPr>
      <xdr:spPr>
        <a:xfrm flipH="1" flipV="1">
          <a:off x="3105150" y="22459950"/>
          <a:ext cx="3295650" cy="411480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400050</xdr:colOff>
      <xdr:row>102</xdr:row>
      <xdr:rowOff>19050</xdr:rowOff>
    </xdr:from>
    <xdr:to>
      <xdr:col>13</xdr:col>
      <xdr:colOff>447675</xdr:colOff>
      <xdr:row>111</xdr:row>
      <xdr:rowOff>57150</xdr:rowOff>
    </xdr:to>
    <xdr:cxnSp macro="">
      <xdr:nvCxnSpPr>
        <xdr:cNvPr id="11" name="Straight Arrow Connector 10">
          <a:extLst>
            <a:ext uri="{FF2B5EF4-FFF2-40B4-BE49-F238E27FC236}">
              <a16:creationId xmlns:a16="http://schemas.microsoft.com/office/drawing/2014/main" id="{80E25F38-ADC1-4E06-A15F-D94EF0DC85CE}"/>
            </a:ext>
          </a:extLst>
        </xdr:cNvPr>
        <xdr:cNvCxnSpPr/>
      </xdr:nvCxnSpPr>
      <xdr:spPr>
        <a:xfrm flipH="1" flipV="1">
          <a:off x="8582025" y="19859625"/>
          <a:ext cx="657225" cy="137160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238858</xdr:colOff>
      <xdr:row>109</xdr:row>
      <xdr:rowOff>153133</xdr:rowOff>
    </xdr:from>
    <xdr:to>
      <xdr:col>14</xdr:col>
      <xdr:colOff>407377</xdr:colOff>
      <xdr:row>122</xdr:row>
      <xdr:rowOff>6594</xdr:rowOff>
    </xdr:to>
    <xdr:sp macro="" textlink="">
      <xdr:nvSpPr>
        <xdr:cNvPr id="12" name="Rectangle: Rounded Corners 11">
          <a:extLst>
            <a:ext uri="{FF2B5EF4-FFF2-40B4-BE49-F238E27FC236}">
              <a16:creationId xmlns:a16="http://schemas.microsoft.com/office/drawing/2014/main" id="{172914BC-BAE7-452C-9823-1703B1C3E3CA}"/>
            </a:ext>
          </a:extLst>
        </xdr:cNvPr>
        <xdr:cNvSpPr/>
      </xdr:nvSpPr>
      <xdr:spPr>
        <a:xfrm>
          <a:off x="9030433" y="20946208"/>
          <a:ext cx="778119" cy="1758461"/>
        </a:xfrm>
        <a:prstGeom prst="roundRect">
          <a:avLst/>
        </a:prstGeom>
        <a:noFill/>
        <a:ln w="762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352425</xdr:colOff>
      <xdr:row>58</xdr:row>
      <xdr:rowOff>57150</xdr:rowOff>
    </xdr:from>
    <xdr:to>
      <xdr:col>14</xdr:col>
      <xdr:colOff>520944</xdr:colOff>
      <xdr:row>67</xdr:row>
      <xdr:rowOff>101111</xdr:rowOff>
    </xdr:to>
    <xdr:sp macro="" textlink="">
      <xdr:nvSpPr>
        <xdr:cNvPr id="13" name="Rectangle: Rounded Corners 12">
          <a:extLst>
            <a:ext uri="{FF2B5EF4-FFF2-40B4-BE49-F238E27FC236}">
              <a16:creationId xmlns:a16="http://schemas.microsoft.com/office/drawing/2014/main" id="{2FA31894-2665-4796-A336-B42A2224D8D0}"/>
            </a:ext>
          </a:extLst>
        </xdr:cNvPr>
        <xdr:cNvSpPr/>
      </xdr:nvSpPr>
      <xdr:spPr>
        <a:xfrm>
          <a:off x="9144000" y="11515725"/>
          <a:ext cx="778119" cy="1758461"/>
        </a:xfrm>
        <a:prstGeom prst="roundRect">
          <a:avLst/>
        </a:prstGeom>
        <a:noFill/>
        <a:ln w="762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292918</xdr:colOff>
      <xdr:row>12</xdr:row>
      <xdr:rowOff>133350</xdr:rowOff>
    </xdr:from>
    <xdr:to>
      <xdr:col>24</xdr:col>
      <xdr:colOff>11621</xdr:colOff>
      <xdr:row>33</xdr:row>
      <xdr:rowOff>115181</xdr:rowOff>
    </xdr:to>
    <xdr:pic>
      <xdr:nvPicPr>
        <xdr:cNvPr id="2" name="Picture 1">
          <a:extLst>
            <a:ext uri="{FF2B5EF4-FFF2-40B4-BE49-F238E27FC236}">
              <a16:creationId xmlns:a16="http://schemas.microsoft.com/office/drawing/2014/main" id="{50FBB664-9CFB-D149-9A19-301FA326C78F}"/>
            </a:ext>
          </a:extLst>
        </xdr:cNvPr>
        <xdr:cNvPicPr>
          <a:picLocks noChangeAspect="1"/>
        </xdr:cNvPicPr>
      </xdr:nvPicPr>
      <xdr:blipFill>
        <a:blip xmlns:r="http://schemas.openxmlformats.org/officeDocument/2006/relationships" r:embed="rId1"/>
        <a:stretch>
          <a:fillRect/>
        </a:stretch>
      </xdr:blipFill>
      <xdr:spPr>
        <a:xfrm>
          <a:off x="5169718" y="3209925"/>
          <a:ext cx="9472303" cy="3982331"/>
        </a:xfrm>
        <a:prstGeom prst="rect">
          <a:avLst/>
        </a:prstGeom>
        <a:ln>
          <a:solidFill>
            <a:sysClr val="windowText" lastClr="000000"/>
          </a:solidFill>
        </a:ln>
      </xdr:spPr>
    </xdr:pic>
    <xdr:clientData/>
  </xdr:twoCellAnchor>
  <xdr:twoCellAnchor>
    <xdr:from>
      <xdr:col>13</xdr:col>
      <xdr:colOff>200025</xdr:colOff>
      <xdr:row>31</xdr:row>
      <xdr:rowOff>161925</xdr:rowOff>
    </xdr:from>
    <xdr:to>
      <xdr:col>22</xdr:col>
      <xdr:colOff>19050</xdr:colOff>
      <xdr:row>34</xdr:row>
      <xdr:rowOff>47625</xdr:rowOff>
    </xdr:to>
    <xdr:sp macro="" textlink="">
      <xdr:nvSpPr>
        <xdr:cNvPr id="3" name="Rectangle: Rounded Corners 2">
          <a:extLst>
            <a:ext uri="{FF2B5EF4-FFF2-40B4-BE49-F238E27FC236}">
              <a16:creationId xmlns:a16="http://schemas.microsoft.com/office/drawing/2014/main" id="{CC6EDC26-DDEC-3EFF-6B7C-8A8612370904}"/>
            </a:ext>
          </a:extLst>
        </xdr:cNvPr>
        <xdr:cNvSpPr/>
      </xdr:nvSpPr>
      <xdr:spPr>
        <a:xfrm>
          <a:off x="8124825" y="6858000"/>
          <a:ext cx="5305425" cy="457200"/>
        </a:xfrm>
        <a:prstGeom prst="roundRect">
          <a:avLst/>
        </a:prstGeom>
        <a:noFill/>
        <a:ln w="762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1</xdr:col>
      <xdr:colOff>304800</xdr:colOff>
      <xdr:row>18</xdr:row>
      <xdr:rowOff>121920</xdr:rowOff>
    </xdr:to>
    <xdr:sp macro="" textlink="">
      <xdr:nvSpPr>
        <xdr:cNvPr id="7169" name="AutoShape 1">
          <a:extLst>
            <a:ext uri="{FF2B5EF4-FFF2-40B4-BE49-F238E27FC236}">
              <a16:creationId xmlns:a16="http://schemas.microsoft.com/office/drawing/2014/main" id="{12FE9615-8C28-36FC-9A08-A71F3D1C7CC4}"/>
            </a:ext>
          </a:extLst>
        </xdr:cNvPr>
        <xdr:cNvSpPr>
          <a:spLocks noChangeAspect="1" noChangeArrowheads="1"/>
        </xdr:cNvSpPr>
      </xdr:nvSpPr>
      <xdr:spPr bwMode="auto">
        <a:xfrm>
          <a:off x="609600" y="310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17</xdr:row>
      <xdr:rowOff>0</xdr:rowOff>
    </xdr:from>
    <xdr:to>
      <xdr:col>1</xdr:col>
      <xdr:colOff>304800</xdr:colOff>
      <xdr:row>18</xdr:row>
      <xdr:rowOff>121920</xdr:rowOff>
    </xdr:to>
    <xdr:sp macro="" textlink="">
      <xdr:nvSpPr>
        <xdr:cNvPr id="7170" name="AutoShape 2">
          <a:extLst>
            <a:ext uri="{FF2B5EF4-FFF2-40B4-BE49-F238E27FC236}">
              <a16:creationId xmlns:a16="http://schemas.microsoft.com/office/drawing/2014/main" id="{FC2C03B3-6466-8400-27F5-7808ABF3145D}"/>
            </a:ext>
          </a:extLst>
        </xdr:cNvPr>
        <xdr:cNvSpPr>
          <a:spLocks noChangeAspect="1" noChangeArrowheads="1"/>
        </xdr:cNvSpPr>
      </xdr:nvSpPr>
      <xdr:spPr bwMode="auto">
        <a:xfrm>
          <a:off x="609600" y="310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17</xdr:row>
      <xdr:rowOff>0</xdr:rowOff>
    </xdr:from>
    <xdr:to>
      <xdr:col>1</xdr:col>
      <xdr:colOff>304800</xdr:colOff>
      <xdr:row>18</xdr:row>
      <xdr:rowOff>121920</xdr:rowOff>
    </xdr:to>
    <xdr:sp macro="" textlink="">
      <xdr:nvSpPr>
        <xdr:cNvPr id="7171" name="AutoShape 3">
          <a:extLst>
            <a:ext uri="{FF2B5EF4-FFF2-40B4-BE49-F238E27FC236}">
              <a16:creationId xmlns:a16="http://schemas.microsoft.com/office/drawing/2014/main" id="{0AA2C330-6B3F-C2FB-8D1A-A9EBE26D2F59}"/>
            </a:ext>
          </a:extLst>
        </xdr:cNvPr>
        <xdr:cNvSpPr>
          <a:spLocks noChangeAspect="1" noChangeArrowheads="1"/>
        </xdr:cNvSpPr>
      </xdr:nvSpPr>
      <xdr:spPr bwMode="auto">
        <a:xfrm>
          <a:off x="609600" y="310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15240</xdr:colOff>
      <xdr:row>16</xdr:row>
      <xdr:rowOff>156194</xdr:rowOff>
    </xdr:from>
    <xdr:to>
      <xdr:col>6</xdr:col>
      <xdr:colOff>315647</xdr:colOff>
      <xdr:row>63</xdr:row>
      <xdr:rowOff>10566</xdr:rowOff>
    </xdr:to>
    <xdr:pic>
      <xdr:nvPicPr>
        <xdr:cNvPr id="6" name="Picture 5">
          <a:extLst>
            <a:ext uri="{FF2B5EF4-FFF2-40B4-BE49-F238E27FC236}">
              <a16:creationId xmlns:a16="http://schemas.microsoft.com/office/drawing/2014/main" id="{540D4BC9-9F66-3DE9-4475-F80F08C590C0}"/>
            </a:ext>
          </a:extLst>
        </xdr:cNvPr>
        <xdr:cNvPicPr>
          <a:picLocks noChangeAspect="1"/>
        </xdr:cNvPicPr>
      </xdr:nvPicPr>
      <xdr:blipFill>
        <a:blip xmlns:r="http://schemas.openxmlformats.org/officeDocument/2006/relationships" r:embed="rId1"/>
        <a:stretch>
          <a:fillRect/>
        </a:stretch>
      </xdr:blipFill>
      <xdr:spPr>
        <a:xfrm>
          <a:off x="624840" y="3082274"/>
          <a:ext cx="5702987" cy="8449732"/>
        </a:xfrm>
        <a:prstGeom prst="rect">
          <a:avLst/>
        </a:prstGeom>
      </xdr:spPr>
    </xdr:pic>
    <xdr:clientData/>
  </xdr:twoCellAnchor>
  <xdr:twoCellAnchor>
    <xdr:from>
      <xdr:col>3</xdr:col>
      <xdr:colOff>655320</xdr:colOff>
      <xdr:row>12</xdr:row>
      <xdr:rowOff>142240</xdr:rowOff>
    </xdr:from>
    <xdr:to>
      <xdr:col>5</xdr:col>
      <xdr:colOff>350520</xdr:colOff>
      <xdr:row>40</xdr:row>
      <xdr:rowOff>99060</xdr:rowOff>
    </xdr:to>
    <xdr:cxnSp macro="">
      <xdr:nvCxnSpPr>
        <xdr:cNvPr id="7" name="Straight Arrow Connector 6">
          <a:extLst>
            <a:ext uri="{FF2B5EF4-FFF2-40B4-BE49-F238E27FC236}">
              <a16:creationId xmlns:a16="http://schemas.microsoft.com/office/drawing/2014/main" id="{A7CDC343-63E5-4883-9C37-4E6AFE1987C2}"/>
            </a:ext>
          </a:extLst>
        </xdr:cNvPr>
        <xdr:cNvCxnSpPr/>
      </xdr:nvCxnSpPr>
      <xdr:spPr>
        <a:xfrm flipH="1" flipV="1">
          <a:off x="4724400" y="2336800"/>
          <a:ext cx="1028700" cy="5077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600075</xdr:colOff>
      <xdr:row>2</xdr:row>
      <xdr:rowOff>95250</xdr:rowOff>
    </xdr:from>
    <xdr:to>
      <xdr:col>26</xdr:col>
      <xdr:colOff>521711</xdr:colOff>
      <xdr:row>31</xdr:row>
      <xdr:rowOff>161226</xdr:rowOff>
    </xdr:to>
    <xdr:pic>
      <xdr:nvPicPr>
        <xdr:cNvPr id="2" name="Picture 1">
          <a:extLst>
            <a:ext uri="{FF2B5EF4-FFF2-40B4-BE49-F238E27FC236}">
              <a16:creationId xmlns:a16="http://schemas.microsoft.com/office/drawing/2014/main" id="{8619BAA0-C833-3102-F48F-39C3BE34BBF5}"/>
            </a:ext>
          </a:extLst>
        </xdr:cNvPr>
        <xdr:cNvPicPr>
          <a:picLocks noChangeAspect="1"/>
        </xdr:cNvPicPr>
      </xdr:nvPicPr>
      <xdr:blipFill>
        <a:blip xmlns:r="http://schemas.openxmlformats.org/officeDocument/2006/relationships" r:embed="rId1"/>
        <a:stretch>
          <a:fillRect/>
        </a:stretch>
      </xdr:blipFill>
      <xdr:spPr>
        <a:xfrm>
          <a:off x="600075" y="476250"/>
          <a:ext cx="17314286" cy="5590476"/>
        </a:xfrm>
        <a:prstGeom prst="rect">
          <a:avLst/>
        </a:prstGeom>
      </xdr:spPr>
    </xdr:pic>
    <xdr:clientData/>
  </xdr:twoCellAnchor>
  <xdr:twoCellAnchor>
    <xdr:from>
      <xdr:col>3</xdr:col>
      <xdr:colOff>2114550</xdr:colOff>
      <xdr:row>31</xdr:row>
      <xdr:rowOff>104775</xdr:rowOff>
    </xdr:from>
    <xdr:to>
      <xdr:col>15</xdr:col>
      <xdr:colOff>495300</xdr:colOff>
      <xdr:row>55</xdr:row>
      <xdr:rowOff>19050</xdr:rowOff>
    </xdr:to>
    <xdr:cxnSp macro="">
      <xdr:nvCxnSpPr>
        <xdr:cNvPr id="6" name="Straight Arrow Connector 5">
          <a:extLst>
            <a:ext uri="{FF2B5EF4-FFF2-40B4-BE49-F238E27FC236}">
              <a16:creationId xmlns:a16="http://schemas.microsoft.com/office/drawing/2014/main" id="{810D337B-D20A-83BB-6DC9-E08E8628DA8B}"/>
            </a:ext>
          </a:extLst>
        </xdr:cNvPr>
        <xdr:cNvCxnSpPr/>
      </xdr:nvCxnSpPr>
      <xdr:spPr>
        <a:xfrm flipH="1">
          <a:off x="3943350" y="6010275"/>
          <a:ext cx="7239000" cy="44862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2076450</xdr:colOff>
      <xdr:row>31</xdr:row>
      <xdr:rowOff>161925</xdr:rowOff>
    </xdr:from>
    <xdr:to>
      <xdr:col>11</xdr:col>
      <xdr:colOff>66675</xdr:colOff>
      <xdr:row>54</xdr:row>
      <xdr:rowOff>28575</xdr:rowOff>
    </xdr:to>
    <xdr:cxnSp macro="">
      <xdr:nvCxnSpPr>
        <xdr:cNvPr id="7" name="Straight Arrow Connector 6">
          <a:extLst>
            <a:ext uri="{FF2B5EF4-FFF2-40B4-BE49-F238E27FC236}">
              <a16:creationId xmlns:a16="http://schemas.microsoft.com/office/drawing/2014/main" id="{0F268040-60AA-4C99-A6F3-73EE7E96AFDC}"/>
            </a:ext>
          </a:extLst>
        </xdr:cNvPr>
        <xdr:cNvCxnSpPr/>
      </xdr:nvCxnSpPr>
      <xdr:spPr>
        <a:xfrm flipH="1">
          <a:off x="3905250" y="6067425"/>
          <a:ext cx="4410075" cy="42481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L:\garverinc.local\gdata\Projects\2020\20T14065%20-%20ODOT%20CI-2250A%20TO5%20I-44%20US-75%20RAISE%202022\Planning\Funding%20Assistance\BCA\Final\BCA%20RAISE%202022_ODOT_51st%20Street%20Project_FINAL.xlsm" TargetMode="External"/><Relationship Id="rId1" Type="http://schemas.openxmlformats.org/officeDocument/2006/relationships/externalLinkPath" Target="https://garverengineers.sharepoint.com/Projects/2020/20T14065%20-%20ODOT%20CI-2250A%20TO5%20I-44%20US-75%20RAISE%202022/Planning/Funding%20Assistance/BCA/Final/BCA%20RAISE%202022_ODOT_51st%20Street%20Project_FINA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arverengineers.sharepoint.com/Users/mrbezanson/AppData/Local/Microsoft/Windows/INetCache/Content.Outlook/M7IZQ3LK/I-40%20Douglas%20Blvd%20Interchange_BCA_%202021%20INFRA_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claimer"/>
      <sheetName val="Results"/>
      <sheetName val="Report Tables _Main"/>
      <sheetName val="Additional Tables"/>
      <sheetName val="Inputs"/>
      <sheetName val="PROJECT"/>
      <sheetName val="Vehicle Traffic"/>
      <sheetName val="Pedestrian Traffic"/>
      <sheetName val="Accident Data"/>
      <sheetName val="Traffic"/>
      <sheetName val="Calc-1"/>
      <sheetName val="Calc-2"/>
      <sheetName val="Calc-3"/>
      <sheetName val="Calc-4"/>
      <sheetName val="Calc-5"/>
      <sheetName val="Calc-6"/>
      <sheetName val="Calc-Costs"/>
      <sheetName val="Project Costs"/>
      <sheetName val="MOVES"/>
      <sheetName val="Fuel Prices"/>
      <sheetName val="US DOT BCA Guidance"/>
      <sheetName val="GDP Deflat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Results"/>
      <sheetName val="Report Tables"/>
      <sheetName val="Inputs"/>
      <sheetName val="Accident Cost Saving"/>
      <sheetName val="Travel Time Savings"/>
      <sheetName val="Travel Time Saving-Interchanges"/>
      <sheetName val="Emissions"/>
      <sheetName val="Residual Value"/>
      <sheetName val="Project Data"/>
      <sheetName val="Project Costs"/>
      <sheetName val="Traffic Projection"/>
      <sheetName val="Emissions.Calc"/>
      <sheetName val="Costs for Emission"/>
      <sheetName val="Deflation Factors"/>
      <sheetName val="Emissions.Raw.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633E9F6-EC4E-40B2-AAB4-1860F3DEF6FE}" name="Table1" displayName="Table1" ref="A1:K29" totalsRowShown="0" headerRowBorderDxfId="15" tableBorderDxfId="14" totalsRowBorderDxfId="13">
  <autoFilter ref="A1:K29" xr:uid="{D633E9F6-EC4E-40B2-AAB4-1860F3DEF6FE}">
    <filterColumn colId="8">
      <filters>
        <filter val="8"/>
      </filters>
    </filterColumn>
  </autoFilter>
  <tableColumns count="11">
    <tableColumn id="1" xr3:uid="{58BC8429-80C1-4746-9376-95AE02E303DF}" name="GC#" dataDxfId="12" dataCellStyle="Normal 4"/>
    <tableColumn id="2" xr3:uid="{8FD07BF7-038B-4DF5-8EE1-1017D078CB9B}" name="DATE INCIDENT" dataDxfId="11" dataCellStyle="Normal 4"/>
    <tableColumn id="3" xr3:uid="{78DC0AD9-124D-4A6A-BC04-3179BDFF77B7}" name="DEFENDANT" dataDxfId="10" dataCellStyle="Normal 4"/>
    <tableColumn id="4" xr3:uid="{D050ED91-C2A9-49FB-9E8A-AF5980CB5851}" name="STRUCTURE/CONTRACT" dataDxfId="9" dataCellStyle="Normal 4"/>
    <tableColumn id="5" xr3:uid="{E9A818C1-1AAE-45DE-9205-81606AA424A7}" name="DAMAGE LOSS" dataDxfId="8" dataCellStyle="Normal 4"/>
    <tableColumn id="6" xr3:uid="{C7BF3473-D5BF-4A3D-8BA2-87F01081ED13}" name="AMOUNT CLAIMED" dataDxfId="7" dataCellStyle="Normal 4"/>
    <tableColumn id="7" xr3:uid="{4AB89CFB-02BF-4931-99AC-CA193912B66E}" name="AMOUNT RECEIVED" dataDxfId="6" dataCellStyle="Normal 4"/>
    <tableColumn id="8" xr3:uid="{D9A15BFB-4518-4254-ACE2-99557F278CCD}" name="DATE CLOSED" dataDxfId="5" dataCellStyle="Normal 4"/>
    <tableColumn id="9" xr3:uid="{121490A0-1CA5-492C-94FD-DD25DD1C12CA}" name="DIST #" dataDxfId="4" dataCellStyle="Normal 4"/>
    <tableColumn id="10" xr3:uid="{85CBF820-342B-414F-9C56-02C50C536A8D}" name="Project #" dataDxfId="3" dataCellStyle="Normal 4"/>
    <tableColumn id="11" xr3:uid="{CF566D9C-87EE-4A17-83FC-860097B3ED1A}" name="Posted Clearance" dataDxfId="2" dataCellStyle="Normal 4"/>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transportation.gov/mission/office-secretary/office-policy/transportation-policy/benefit-cost-analysis-guidance" TargetMode="Externa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hyperlink" Target="https://www.eia.gov/outlooks/aeo/tables_ref.php"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census.gov/quickfacts/tulsacityoklahoma"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apps.bea.gov/iTable/?reqid=19&amp;step=3&amp;isuri=1&amp;1921=survey&amp;1903=11%23reqid%3D19&amp;step=3&amp;isuri=1&amp;1921=survey&amp;1903=11"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A2EBB-1101-4E97-B029-0B50EAFE1EE0}">
  <sheetPr>
    <tabColor rgb="FFFFFF00"/>
  </sheetPr>
  <dimension ref="A1:AV96"/>
  <sheetViews>
    <sheetView tabSelected="1" zoomScaleNormal="100" workbookViewId="0">
      <pane xSplit="5" ySplit="9" topLeftCell="F67" activePane="bottomRight" state="frozen"/>
      <selection pane="topRight" activeCell="F1" sqref="F1"/>
      <selection pane="bottomLeft" activeCell="A10" sqref="A10"/>
      <selection pane="bottomRight" activeCell="C34" sqref="C34:E34"/>
    </sheetView>
  </sheetViews>
  <sheetFormatPr defaultColWidth="0" defaultRowHeight="14.25" x14ac:dyDescent="0.2"/>
  <cols>
    <col min="1" max="1" width="13.140625" style="1" customWidth="1"/>
    <col min="2" max="2" width="37.42578125" style="1" bestFit="1" customWidth="1"/>
    <col min="3" max="5" width="13.28515625" style="1" customWidth="1"/>
    <col min="6" max="6" width="12.7109375" style="1" bestFit="1" customWidth="1"/>
    <col min="7" max="44" width="13.7109375" style="1" customWidth="1"/>
    <col min="45" max="45" width="9.140625" style="1" customWidth="1"/>
    <col min="46" max="48" width="0" style="1" hidden="1" customWidth="1"/>
    <col min="49" max="16384" width="9.140625" style="1" hidden="1"/>
  </cols>
  <sheetData>
    <row r="1" spans="1:10" ht="19.5" x14ac:dyDescent="0.3">
      <c r="A1" s="6" t="s">
        <v>0</v>
      </c>
      <c r="B1" s="380"/>
      <c r="C1" s="380"/>
      <c r="D1" s="380"/>
      <c r="E1" s="380"/>
      <c r="F1" s="380"/>
      <c r="G1" s="380"/>
      <c r="H1" s="380"/>
      <c r="I1" s="380"/>
      <c r="J1" s="380"/>
    </row>
    <row r="2" spans="1:10" ht="19.5" x14ac:dyDescent="0.3">
      <c r="A2" s="6" t="s">
        <v>1</v>
      </c>
      <c r="B2" s="380"/>
      <c r="C2" s="380"/>
      <c r="D2" s="380"/>
      <c r="E2" s="380"/>
      <c r="F2" s="380"/>
      <c r="G2" s="380"/>
      <c r="H2" s="380"/>
      <c r="I2" s="380"/>
      <c r="J2" s="380"/>
    </row>
    <row r="3" spans="1:10" x14ac:dyDescent="0.2">
      <c r="A3" s="381">
        <f ca="1">TODAY()</f>
        <v>45687</v>
      </c>
      <c r="B3" s="380"/>
      <c r="C3" s="380"/>
      <c r="D3" s="380"/>
      <c r="E3" s="380"/>
      <c r="F3" s="380"/>
      <c r="G3" s="380"/>
      <c r="H3" s="380"/>
      <c r="I3" s="380"/>
      <c r="J3" s="380"/>
    </row>
    <row r="4" spans="1:10" x14ac:dyDescent="0.2">
      <c r="A4" s="33" t="s">
        <v>2</v>
      </c>
      <c r="B4" s="380"/>
      <c r="C4" s="380"/>
      <c r="D4" s="380"/>
      <c r="E4" s="380"/>
      <c r="F4" s="380"/>
      <c r="G4" s="380"/>
      <c r="H4" s="380"/>
      <c r="I4" s="380"/>
      <c r="J4" s="380"/>
    </row>
    <row r="5" spans="1:10" x14ac:dyDescent="0.2">
      <c r="A5" s="382" t="s">
        <v>3</v>
      </c>
      <c r="B5" s="380"/>
      <c r="C5" s="380"/>
      <c r="D5" s="380"/>
      <c r="E5" s="380"/>
      <c r="F5" s="380"/>
      <c r="G5" s="380"/>
      <c r="H5" s="380"/>
      <c r="I5" s="380"/>
      <c r="J5" s="380"/>
    </row>
    <row r="6" spans="1:10" x14ac:dyDescent="0.2">
      <c r="A6" s="38" t="s">
        <v>4</v>
      </c>
      <c r="B6" s="11"/>
      <c r="C6" s="380"/>
      <c r="D6" s="380"/>
      <c r="E6" s="380"/>
      <c r="F6" s="380"/>
      <c r="G6" s="380"/>
      <c r="H6" s="380"/>
      <c r="I6" s="380"/>
      <c r="J6" s="380"/>
    </row>
    <row r="7" spans="1:10" x14ac:dyDescent="0.2">
      <c r="A7" s="39" t="s">
        <v>5</v>
      </c>
      <c r="B7" s="11"/>
      <c r="C7" s="380"/>
      <c r="D7" s="380"/>
      <c r="E7" s="380"/>
      <c r="F7" s="380"/>
      <c r="G7" s="380"/>
      <c r="H7" s="380"/>
      <c r="I7" s="380"/>
      <c r="J7" s="380"/>
    </row>
    <row r="8" spans="1:10" ht="15" thickBot="1" x14ac:dyDescent="0.25">
      <c r="A8" s="175" t="s">
        <v>6</v>
      </c>
      <c r="B8" s="383" t="s">
        <v>7</v>
      </c>
      <c r="C8" s="380" t="str">
        <f>IF(Inputs!$B$175=0,"NO","YES")</f>
        <v>NO</v>
      </c>
      <c r="D8" s="380"/>
      <c r="E8" s="380"/>
      <c r="F8" s="380"/>
      <c r="G8" s="380"/>
      <c r="H8" s="380"/>
      <c r="I8" s="380"/>
      <c r="J8" s="380"/>
    </row>
    <row r="9" spans="1:10" ht="20.25" thickBot="1" x14ac:dyDescent="0.35">
      <c r="A9" s="380"/>
      <c r="B9" s="471" t="s">
        <v>8</v>
      </c>
      <c r="C9" s="472"/>
      <c r="D9" s="472"/>
      <c r="E9" s="144">
        <f>$E$35</f>
        <v>1.8138898580989069</v>
      </c>
      <c r="F9" s="380"/>
      <c r="G9" s="143"/>
      <c r="H9" s="143"/>
      <c r="I9" s="143"/>
      <c r="J9" s="145"/>
    </row>
    <row r="10" spans="1:10" ht="9" customHeight="1" x14ac:dyDescent="0.3">
      <c r="A10" s="380"/>
      <c r="B10" s="380"/>
      <c r="C10" s="380"/>
      <c r="D10" s="380"/>
      <c r="E10" s="380"/>
      <c r="F10" s="380"/>
      <c r="G10" s="143"/>
      <c r="H10" s="143"/>
      <c r="I10" s="143"/>
      <c r="J10" s="145"/>
    </row>
    <row r="11" spans="1:10" ht="15.75" thickBot="1" x14ac:dyDescent="0.3">
      <c r="A11" s="2"/>
      <c r="B11" s="380"/>
      <c r="C11" s="106" t="s">
        <v>9</v>
      </c>
      <c r="D11" s="106"/>
      <c r="E11" s="106"/>
      <c r="F11" s="380"/>
      <c r="G11" s="380"/>
      <c r="H11" s="380"/>
      <c r="I11" s="380"/>
      <c r="J11" s="380"/>
    </row>
    <row r="12" spans="1:10" ht="18" thickBot="1" x14ac:dyDescent="0.35">
      <c r="A12" s="380"/>
      <c r="B12" s="31" t="s">
        <v>10</v>
      </c>
      <c r="C12" s="32">
        <f>Inputs!$E$29</f>
        <v>0</v>
      </c>
      <c r="D12" s="32">
        <f>Inputs!$E$30</f>
        <v>0.02</v>
      </c>
      <c r="E12" s="318">
        <f>Inputs!$E$31</f>
        <v>3.1E-2</v>
      </c>
      <c r="F12" s="179" t="s">
        <v>11</v>
      </c>
      <c r="G12" s="380"/>
      <c r="H12" s="380"/>
      <c r="I12" s="380"/>
      <c r="J12" s="380"/>
    </row>
    <row r="13" spans="1:10" x14ac:dyDescent="0.2">
      <c r="A13" s="380"/>
      <c r="B13" s="384" t="s">
        <v>12</v>
      </c>
      <c r="C13" s="385">
        <f t="shared" ref="C13:C17" si="0">D41</f>
        <v>5.0914710204081661</v>
      </c>
      <c r="D13" s="385">
        <f t="shared" ref="D13:D18" si="1">D61</f>
        <v>3.8998548260711581</v>
      </c>
      <c r="E13" s="386">
        <f t="shared" ref="E13:E17" si="2">D81</f>
        <v>3.3937703130161587</v>
      </c>
      <c r="F13" s="387">
        <f t="shared" ref="F13:F22" si="3">E13/$E$22</f>
        <v>7.8175548013646221E-2</v>
      </c>
      <c r="G13" s="380"/>
      <c r="H13" s="380"/>
      <c r="I13" s="380"/>
      <c r="J13" s="380"/>
    </row>
    <row r="14" spans="1:10" x14ac:dyDescent="0.2">
      <c r="A14" s="380"/>
      <c r="B14" s="388" t="s">
        <v>13</v>
      </c>
      <c r="C14" s="389">
        <f t="shared" si="0"/>
        <v>38.411912133695687</v>
      </c>
      <c r="D14" s="389">
        <f t="shared" si="1"/>
        <v>28.510830055865796</v>
      </c>
      <c r="E14" s="390">
        <f t="shared" si="2"/>
        <v>24.382058165832593</v>
      </c>
      <c r="F14" s="387">
        <f t="shared" si="3"/>
        <v>0.56164106082964771</v>
      </c>
      <c r="G14" s="380"/>
      <c r="H14" s="380"/>
      <c r="I14" s="380"/>
      <c r="J14" s="380"/>
    </row>
    <row r="15" spans="1:10" x14ac:dyDescent="0.2">
      <c r="A15" s="380"/>
      <c r="B15" s="388" t="s">
        <v>14</v>
      </c>
      <c r="C15" s="389">
        <f t="shared" si="0"/>
        <v>12.206204871929893</v>
      </c>
      <c r="D15" s="389">
        <f t="shared" si="1"/>
        <v>9.176941572627765</v>
      </c>
      <c r="E15" s="390">
        <f t="shared" si="2"/>
        <v>7.9050022530592772</v>
      </c>
      <c r="F15" s="387">
        <f t="shared" si="3"/>
        <v>0.18209184069171705</v>
      </c>
      <c r="G15" s="380"/>
      <c r="H15" s="380"/>
      <c r="I15" s="380"/>
      <c r="J15" s="380"/>
    </row>
    <row r="16" spans="1:10" x14ac:dyDescent="0.2">
      <c r="A16" s="380"/>
      <c r="B16" s="388" t="s">
        <v>15</v>
      </c>
      <c r="C16" s="389">
        <f t="shared" si="0"/>
        <v>0.31604422616860189</v>
      </c>
      <c r="D16" s="389">
        <f t="shared" si="1"/>
        <v>0.23499383672462071</v>
      </c>
      <c r="E16" s="390">
        <f t="shared" si="2"/>
        <v>0.20336619250401633</v>
      </c>
      <c r="F16" s="387">
        <f t="shared" si="3"/>
        <v>4.6845431717860786E-3</v>
      </c>
      <c r="G16" s="380"/>
      <c r="H16" s="380"/>
      <c r="I16" s="380"/>
      <c r="J16" s="380"/>
    </row>
    <row r="17" spans="2:6" x14ac:dyDescent="0.2">
      <c r="B17" s="388" t="s">
        <v>16</v>
      </c>
      <c r="C17" s="389">
        <f t="shared" si="0"/>
        <v>5.2860756813091259</v>
      </c>
      <c r="D17" s="389">
        <f t="shared" si="1"/>
        <v>4.03789599510357</v>
      </c>
      <c r="E17" s="391">
        <f t="shared" si="2"/>
        <v>3.5081118678618197</v>
      </c>
      <c r="F17" s="387">
        <f t="shared" si="3"/>
        <v>8.080940737546255E-2</v>
      </c>
    </row>
    <row r="18" spans="2:6" x14ac:dyDescent="0.2">
      <c r="B18" s="388" t="s">
        <v>17</v>
      </c>
      <c r="C18" s="389">
        <f t="shared" ref="C18" si="4">D46</f>
        <v>2.7211943901999995</v>
      </c>
      <c r="D18" s="389">
        <f t="shared" si="1"/>
        <v>2.0695728995372811</v>
      </c>
      <c r="E18" s="391">
        <f t="shared" ref="E18" si="5">D86</f>
        <v>1.7934799803832866</v>
      </c>
      <c r="F18" s="387">
        <f t="shared" si="3"/>
        <v>4.1312837165270865E-2</v>
      </c>
    </row>
    <row r="19" spans="2:6" x14ac:dyDescent="0.2">
      <c r="B19" s="388" t="s">
        <v>18</v>
      </c>
      <c r="C19" s="392">
        <f>D47</f>
        <v>3.4526203842844203E-2</v>
      </c>
      <c r="D19" s="392">
        <f>D67</f>
        <v>2.6599541314155182E-2</v>
      </c>
      <c r="E19" s="393">
        <f>D87</f>
        <v>2.3220171476386497E-2</v>
      </c>
      <c r="F19" s="387">
        <f t="shared" si="3"/>
        <v>5.3487698421289954E-4</v>
      </c>
    </row>
    <row r="20" spans="2:6" x14ac:dyDescent="0.2">
      <c r="B20" s="394" t="s">
        <v>19</v>
      </c>
      <c r="C20" s="395">
        <f>D48</f>
        <v>3.6161773652176512</v>
      </c>
      <c r="D20" s="395">
        <f>D68</f>
        <v>2.6119269830089764</v>
      </c>
      <c r="E20" s="396">
        <f>D88</f>
        <v>2.2031627546660202</v>
      </c>
      <c r="F20" s="387">
        <f t="shared" si="3"/>
        <v>5.0749885768256606E-2</v>
      </c>
    </row>
    <row r="21" spans="2:6" x14ac:dyDescent="0.2">
      <c r="B21" s="397" t="s">
        <v>20</v>
      </c>
      <c r="C21" s="389">
        <f t="shared" ref="C21" si="6">D49</f>
        <v>0</v>
      </c>
      <c r="D21" s="389">
        <f t="shared" ref="D21" si="7">D69</f>
        <v>0</v>
      </c>
      <c r="E21" s="390">
        <f t="shared" ref="E21" si="8">D89</f>
        <v>0</v>
      </c>
      <c r="F21" s="387">
        <f t="shared" si="3"/>
        <v>0</v>
      </c>
    </row>
    <row r="22" spans="2:6" ht="15.75" thickBot="1" x14ac:dyDescent="0.3">
      <c r="B22" s="30" t="s">
        <v>21</v>
      </c>
      <c r="C22" s="258">
        <f>SUM(C13:C21)</f>
        <v>67.683605892771965</v>
      </c>
      <c r="D22" s="258">
        <f>SUM(D13:D21)</f>
        <v>50.568615710253319</v>
      </c>
      <c r="E22" s="259">
        <f>SUM(E13:E21)</f>
        <v>43.412171698799561</v>
      </c>
      <c r="F22" s="398">
        <f t="shared" si="3"/>
        <v>1</v>
      </c>
    </row>
    <row r="23" spans="2:6" x14ac:dyDescent="0.2">
      <c r="B23" s="38" t="s">
        <v>22</v>
      </c>
      <c r="C23" s="380"/>
      <c r="D23" s="380"/>
      <c r="E23" s="380"/>
      <c r="F23" s="380"/>
    </row>
    <row r="24" spans="2:6" x14ac:dyDescent="0.2">
      <c r="B24" s="38"/>
      <c r="C24" s="380"/>
      <c r="D24" s="380"/>
      <c r="E24" s="380"/>
      <c r="F24" s="380"/>
    </row>
    <row r="25" spans="2:6" ht="15" thickBot="1" x14ac:dyDescent="0.25">
      <c r="B25" s="380"/>
      <c r="C25" s="106" t="s">
        <v>9</v>
      </c>
      <c r="D25" s="106"/>
      <c r="E25" s="106"/>
      <c r="F25" s="380"/>
    </row>
    <row r="26" spans="2:6" ht="18" thickBot="1" x14ac:dyDescent="0.35">
      <c r="B26" s="31" t="s">
        <v>23</v>
      </c>
      <c r="C26" s="32">
        <f>Inputs!$E$29</f>
        <v>0</v>
      </c>
      <c r="D26" s="32">
        <f>Inputs!$E$30</f>
        <v>0.02</v>
      </c>
      <c r="E26" s="318">
        <f>Inputs!$E$31</f>
        <v>3.1E-2</v>
      </c>
      <c r="F26" s="380"/>
    </row>
    <row r="27" spans="2:6" x14ac:dyDescent="0.2">
      <c r="B27" s="394" t="s">
        <v>24</v>
      </c>
      <c r="C27" s="399">
        <f>D53</f>
        <v>-27.335510498564162</v>
      </c>
      <c r="D27" s="399">
        <f>D73</f>
        <v>-25.07631834171999</v>
      </c>
      <c r="E27" s="400">
        <f>D93</f>
        <v>-23.93319059862807</v>
      </c>
      <c r="F27" s="380"/>
    </row>
    <row r="28" spans="2:6" ht="15.75" thickBot="1" x14ac:dyDescent="0.3">
      <c r="B28" s="30" t="s">
        <v>21</v>
      </c>
      <c r="C28" s="131">
        <f>SUM(C27:C27)</f>
        <v>-27.335510498564162</v>
      </c>
      <c r="D28" s="131">
        <f>SUM(D27:D27)</f>
        <v>-25.07631834171999</v>
      </c>
      <c r="E28" s="132">
        <f>SUM(E27:E27)</f>
        <v>-23.93319059862807</v>
      </c>
      <c r="F28" s="380"/>
    </row>
    <row r="30" spans="2:6" ht="15" thickBot="1" x14ac:dyDescent="0.25">
      <c r="B30" s="380"/>
      <c r="C30" s="106" t="s">
        <v>9</v>
      </c>
      <c r="D30" s="106"/>
      <c r="E30" s="106"/>
      <c r="F30" s="380"/>
    </row>
    <row r="31" spans="2:6" ht="18" thickBot="1" x14ac:dyDescent="0.35">
      <c r="B31" s="31" t="s">
        <v>25</v>
      </c>
      <c r="C31" s="32">
        <f>Inputs!$E$29</f>
        <v>0</v>
      </c>
      <c r="D31" s="32">
        <f>Inputs!$E$30</f>
        <v>0.02</v>
      </c>
      <c r="E31" s="318">
        <f>Inputs!$E$31</f>
        <v>3.1E-2</v>
      </c>
      <c r="F31" s="380"/>
    </row>
    <row r="32" spans="2:6" x14ac:dyDescent="0.2">
      <c r="B32" s="384" t="s">
        <v>26</v>
      </c>
      <c r="C32" s="401">
        <f>C22</f>
        <v>67.683605892771965</v>
      </c>
      <c r="D32" s="402">
        <f>D22</f>
        <v>50.568615710253319</v>
      </c>
      <c r="E32" s="403">
        <f>E22</f>
        <v>43.412171698799561</v>
      </c>
      <c r="F32" s="380"/>
    </row>
    <row r="33" spans="1:44" x14ac:dyDescent="0.2">
      <c r="A33" s="380"/>
      <c r="B33" s="388" t="s">
        <v>27</v>
      </c>
      <c r="C33" s="404">
        <f>C28</f>
        <v>-27.335510498564162</v>
      </c>
      <c r="D33" s="404">
        <f>D28</f>
        <v>-25.07631834171999</v>
      </c>
      <c r="E33" s="405">
        <f>E28</f>
        <v>-23.93319059862807</v>
      </c>
      <c r="F33" s="380"/>
      <c r="G33" s="380"/>
      <c r="H33" s="380"/>
      <c r="I33" s="380"/>
      <c r="J33" s="380"/>
      <c r="K33" s="380"/>
      <c r="L33" s="380"/>
      <c r="M33" s="380"/>
      <c r="N33" s="380"/>
      <c r="O33" s="380"/>
      <c r="P33" s="380"/>
      <c r="Q33" s="380"/>
      <c r="R33" s="380"/>
      <c r="S33" s="380"/>
      <c r="T33" s="380"/>
      <c r="U33" s="380"/>
      <c r="V33" s="380"/>
      <c r="W33" s="380"/>
      <c r="X33" s="380"/>
      <c r="Y33" s="380"/>
      <c r="Z33" s="380"/>
      <c r="AA33" s="380"/>
      <c r="AB33" s="380"/>
      <c r="AC33" s="380"/>
      <c r="AD33" s="380"/>
      <c r="AE33" s="380"/>
      <c r="AF33" s="380"/>
      <c r="AG33" s="380"/>
      <c r="AH33" s="380"/>
      <c r="AI33" s="380"/>
      <c r="AJ33" s="380"/>
      <c r="AK33" s="380"/>
      <c r="AL33" s="380"/>
      <c r="AM33" s="380"/>
      <c r="AN33" s="380"/>
      <c r="AO33" s="380"/>
      <c r="AP33" s="380"/>
      <c r="AQ33" s="380"/>
      <c r="AR33" s="380"/>
    </row>
    <row r="34" spans="1:44" x14ac:dyDescent="0.2">
      <c r="A34" s="380"/>
      <c r="B34" s="388" t="s">
        <v>28</v>
      </c>
      <c r="C34" s="404">
        <f>C32+C33</f>
        <v>40.348095394207803</v>
      </c>
      <c r="D34" s="404">
        <f>D32+D33</f>
        <v>25.492297368533329</v>
      </c>
      <c r="E34" s="405">
        <f>E32+E33</f>
        <v>19.478981100171492</v>
      </c>
      <c r="F34" s="380"/>
      <c r="G34" s="380"/>
      <c r="H34" s="380"/>
      <c r="I34" s="380"/>
      <c r="J34" s="380"/>
      <c r="K34" s="380"/>
      <c r="L34" s="380"/>
      <c r="M34" s="380"/>
      <c r="N34" s="380"/>
      <c r="O34" s="380"/>
      <c r="P34" s="380"/>
      <c r="Q34" s="380"/>
      <c r="R34" s="380"/>
      <c r="S34" s="380"/>
      <c r="T34" s="380"/>
      <c r="U34" s="380"/>
      <c r="V34" s="380"/>
      <c r="W34" s="380"/>
      <c r="X34" s="380"/>
      <c r="Y34" s="380"/>
      <c r="Z34" s="380"/>
      <c r="AA34" s="380"/>
      <c r="AB34" s="380"/>
      <c r="AC34" s="380"/>
      <c r="AD34" s="380"/>
      <c r="AE34" s="380"/>
      <c r="AF34" s="380"/>
      <c r="AG34" s="380"/>
      <c r="AH34" s="380"/>
      <c r="AI34" s="380"/>
      <c r="AJ34" s="380"/>
      <c r="AK34" s="380"/>
      <c r="AL34" s="380"/>
      <c r="AM34" s="380"/>
      <c r="AN34" s="380"/>
      <c r="AO34" s="380"/>
      <c r="AP34" s="380"/>
      <c r="AQ34" s="380"/>
      <c r="AR34" s="380"/>
    </row>
    <row r="35" spans="1:44" x14ac:dyDescent="0.2">
      <c r="A35" s="380"/>
      <c r="B35" s="388" t="s">
        <v>29</v>
      </c>
      <c r="C35" s="406">
        <f>C32/-C33</f>
        <v>2.4760322620031974</v>
      </c>
      <c r="D35" s="406">
        <f>D32/-D33</f>
        <v>2.0165885207367649</v>
      </c>
      <c r="E35" s="407">
        <f>E32/-E33</f>
        <v>1.8138898580989069</v>
      </c>
      <c r="F35" s="408"/>
      <c r="G35" s="380"/>
      <c r="H35" s="380"/>
      <c r="I35" s="380"/>
      <c r="J35" s="380"/>
      <c r="K35" s="380"/>
      <c r="L35" s="380"/>
      <c r="M35" s="380"/>
      <c r="N35" s="380"/>
      <c r="O35" s="380"/>
      <c r="P35" s="380"/>
      <c r="Q35" s="380"/>
      <c r="R35" s="380"/>
      <c r="S35" s="380"/>
      <c r="T35" s="380"/>
      <c r="U35" s="380"/>
      <c r="V35" s="380"/>
      <c r="W35" s="380"/>
      <c r="X35" s="380"/>
      <c r="Y35" s="380"/>
      <c r="Z35" s="380"/>
      <c r="AA35" s="380"/>
      <c r="AB35" s="380"/>
      <c r="AC35" s="380"/>
      <c r="AD35" s="380"/>
      <c r="AE35" s="380"/>
      <c r="AF35" s="380"/>
      <c r="AG35" s="380"/>
      <c r="AH35" s="380"/>
      <c r="AI35" s="380"/>
      <c r="AJ35" s="380"/>
      <c r="AK35" s="380"/>
      <c r="AL35" s="380"/>
      <c r="AM35" s="380"/>
      <c r="AN35" s="380"/>
      <c r="AO35" s="380"/>
      <c r="AP35" s="380"/>
      <c r="AQ35" s="380"/>
      <c r="AR35" s="380"/>
    </row>
    <row r="36" spans="1:44" ht="15" thickBot="1" x14ac:dyDescent="0.25">
      <c r="A36" s="380"/>
      <c r="B36" s="388" t="s">
        <v>30</v>
      </c>
      <c r="C36" s="409">
        <f>-C34/C27</f>
        <v>1.4760322620031971</v>
      </c>
      <c r="D36" s="410">
        <f>-D34/D27</f>
        <v>1.0165885207367649</v>
      </c>
      <c r="E36" s="411">
        <f>-E34/E27</f>
        <v>0.8138898580989069</v>
      </c>
      <c r="F36" s="380"/>
      <c r="G36" s="380"/>
      <c r="H36" s="380"/>
      <c r="I36" s="380"/>
      <c r="J36" s="380"/>
      <c r="K36" s="380"/>
      <c r="L36" s="380"/>
      <c r="M36" s="380"/>
      <c r="N36" s="380"/>
      <c r="O36" s="380"/>
      <c r="P36" s="380"/>
      <c r="Q36" s="380"/>
      <c r="R36" s="380"/>
      <c r="S36" s="380"/>
      <c r="T36" s="380"/>
      <c r="U36" s="380"/>
      <c r="V36" s="380"/>
      <c r="W36" s="380"/>
      <c r="X36" s="380"/>
      <c r="Y36" s="380"/>
      <c r="Z36" s="380"/>
      <c r="AA36" s="380"/>
      <c r="AB36" s="380"/>
      <c r="AC36" s="380"/>
      <c r="AD36" s="380"/>
      <c r="AE36" s="380"/>
      <c r="AF36" s="380"/>
      <c r="AG36" s="380"/>
      <c r="AH36" s="380"/>
      <c r="AI36" s="380"/>
      <c r="AJ36" s="380"/>
      <c r="AK36" s="380"/>
      <c r="AL36" s="380"/>
      <c r="AM36" s="380"/>
      <c r="AN36" s="380"/>
      <c r="AO36" s="380"/>
      <c r="AP36" s="380"/>
      <c r="AQ36" s="380"/>
      <c r="AR36" s="380"/>
    </row>
    <row r="37" spans="1:44" ht="15" thickBot="1" x14ac:dyDescent="0.25">
      <c r="A37" s="380"/>
      <c r="B37" s="412" t="s">
        <v>31</v>
      </c>
      <c r="C37" s="413">
        <f>IRR(F56:AR56)</f>
        <v>8.3516470973174606E-2</v>
      </c>
      <c r="D37" s="414"/>
      <c r="E37" s="380"/>
      <c r="F37" s="380"/>
      <c r="G37" s="380"/>
      <c r="H37" s="380"/>
      <c r="I37" s="380"/>
      <c r="J37" s="380"/>
      <c r="K37" s="380"/>
      <c r="L37" s="380"/>
      <c r="M37" s="380"/>
      <c r="N37" s="380"/>
      <c r="O37" s="380"/>
      <c r="P37" s="380"/>
      <c r="Q37" s="380"/>
      <c r="R37" s="380"/>
      <c r="S37" s="380"/>
      <c r="T37" s="380"/>
      <c r="U37" s="380"/>
      <c r="V37" s="380"/>
      <c r="W37" s="380"/>
      <c r="X37" s="380"/>
      <c r="Y37" s="380"/>
      <c r="Z37" s="380"/>
      <c r="AA37" s="380"/>
      <c r="AB37" s="380"/>
      <c r="AC37" s="380"/>
      <c r="AD37" s="380"/>
      <c r="AE37" s="380"/>
      <c r="AF37" s="380"/>
      <c r="AG37" s="380"/>
      <c r="AH37" s="380"/>
      <c r="AI37" s="380"/>
      <c r="AJ37" s="380"/>
      <c r="AK37" s="380"/>
      <c r="AL37" s="380"/>
      <c r="AM37" s="380"/>
      <c r="AN37" s="380"/>
      <c r="AO37" s="380"/>
      <c r="AP37" s="380"/>
      <c r="AQ37" s="380"/>
      <c r="AR37" s="380"/>
    </row>
    <row r="38" spans="1:44" x14ac:dyDescent="0.2">
      <c r="A38" s="380"/>
      <c r="B38" s="415"/>
      <c r="C38" s="415"/>
      <c r="D38" s="380"/>
      <c r="E38" s="380"/>
      <c r="F38" s="380"/>
      <c r="G38" s="380"/>
      <c r="H38" s="380"/>
      <c r="I38" s="380"/>
      <c r="J38" s="380"/>
      <c r="K38" s="380"/>
      <c r="L38" s="380"/>
      <c r="M38" s="380"/>
      <c r="N38" s="380"/>
      <c r="O38" s="380"/>
      <c r="P38" s="380"/>
      <c r="Q38" s="380"/>
      <c r="R38" s="380"/>
      <c r="S38" s="380"/>
      <c r="T38" s="380"/>
      <c r="U38" s="380"/>
      <c r="V38" s="380"/>
      <c r="W38" s="380"/>
      <c r="X38" s="380"/>
      <c r="Y38" s="380"/>
      <c r="Z38" s="380"/>
      <c r="AA38" s="380"/>
      <c r="AB38" s="380"/>
      <c r="AC38" s="380"/>
      <c r="AD38" s="380"/>
      <c r="AE38" s="380"/>
      <c r="AF38" s="380"/>
      <c r="AG38" s="380"/>
      <c r="AH38" s="380"/>
      <c r="AI38" s="380"/>
      <c r="AJ38" s="380"/>
      <c r="AK38" s="380"/>
      <c r="AL38" s="380"/>
      <c r="AM38" s="380"/>
      <c r="AN38" s="380"/>
      <c r="AO38" s="380"/>
      <c r="AP38" s="380"/>
      <c r="AQ38" s="380"/>
      <c r="AR38" s="380"/>
    </row>
    <row r="39" spans="1:44" ht="15.75" thickBot="1" x14ac:dyDescent="0.3">
      <c r="A39" s="2" t="s">
        <v>32</v>
      </c>
      <c r="B39" s="380"/>
      <c r="C39" s="380"/>
      <c r="D39" s="380"/>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L39" s="380"/>
      <c r="AM39" s="380"/>
      <c r="AN39" s="380"/>
      <c r="AO39" s="380"/>
      <c r="AP39" s="380"/>
      <c r="AQ39" s="380"/>
      <c r="AR39" s="380"/>
    </row>
    <row r="40" spans="1:44" ht="18" thickBot="1" x14ac:dyDescent="0.35">
      <c r="A40" s="380"/>
      <c r="B40" s="31" t="s">
        <v>33</v>
      </c>
      <c r="C40" s="32"/>
      <c r="D40" s="32" t="s">
        <v>34</v>
      </c>
      <c r="E40" s="32"/>
      <c r="F40" s="58">
        <f>Inputs!E12</f>
        <v>2018</v>
      </c>
      <c r="G40" s="58">
        <f>F40+1</f>
        <v>2019</v>
      </c>
      <c r="H40" s="58">
        <f t="shared" ref="H40:AN40" si="9">G40+1</f>
        <v>2020</v>
      </c>
      <c r="I40" s="58">
        <f t="shared" si="9"/>
        <v>2021</v>
      </c>
      <c r="J40" s="58">
        <f t="shared" si="9"/>
        <v>2022</v>
      </c>
      <c r="K40" s="58">
        <f t="shared" si="9"/>
        <v>2023</v>
      </c>
      <c r="L40" s="58">
        <f t="shared" si="9"/>
        <v>2024</v>
      </c>
      <c r="M40" s="58">
        <f t="shared" si="9"/>
        <v>2025</v>
      </c>
      <c r="N40" s="58">
        <f t="shared" si="9"/>
        <v>2026</v>
      </c>
      <c r="O40" s="58">
        <f t="shared" si="9"/>
        <v>2027</v>
      </c>
      <c r="P40" s="58">
        <f t="shared" si="9"/>
        <v>2028</v>
      </c>
      <c r="Q40" s="58">
        <f t="shared" si="9"/>
        <v>2029</v>
      </c>
      <c r="R40" s="58">
        <f t="shared" si="9"/>
        <v>2030</v>
      </c>
      <c r="S40" s="58">
        <f t="shared" si="9"/>
        <v>2031</v>
      </c>
      <c r="T40" s="58">
        <f t="shared" si="9"/>
        <v>2032</v>
      </c>
      <c r="U40" s="58">
        <f t="shared" si="9"/>
        <v>2033</v>
      </c>
      <c r="V40" s="58">
        <f t="shared" si="9"/>
        <v>2034</v>
      </c>
      <c r="W40" s="58">
        <f t="shared" si="9"/>
        <v>2035</v>
      </c>
      <c r="X40" s="58">
        <f t="shared" si="9"/>
        <v>2036</v>
      </c>
      <c r="Y40" s="58">
        <f t="shared" si="9"/>
        <v>2037</v>
      </c>
      <c r="Z40" s="58">
        <f t="shared" si="9"/>
        <v>2038</v>
      </c>
      <c r="AA40" s="58">
        <f t="shared" si="9"/>
        <v>2039</v>
      </c>
      <c r="AB40" s="58">
        <f t="shared" si="9"/>
        <v>2040</v>
      </c>
      <c r="AC40" s="58">
        <f t="shared" si="9"/>
        <v>2041</v>
      </c>
      <c r="AD40" s="58">
        <f t="shared" si="9"/>
        <v>2042</v>
      </c>
      <c r="AE40" s="58">
        <f t="shared" si="9"/>
        <v>2043</v>
      </c>
      <c r="AF40" s="58">
        <f t="shared" si="9"/>
        <v>2044</v>
      </c>
      <c r="AG40" s="58">
        <f t="shared" si="9"/>
        <v>2045</v>
      </c>
      <c r="AH40" s="58">
        <f t="shared" si="9"/>
        <v>2046</v>
      </c>
      <c r="AI40" s="58">
        <f t="shared" si="9"/>
        <v>2047</v>
      </c>
      <c r="AJ40" s="58">
        <f t="shared" si="9"/>
        <v>2048</v>
      </c>
      <c r="AK40" s="58">
        <f t="shared" si="9"/>
        <v>2049</v>
      </c>
      <c r="AL40" s="58">
        <f t="shared" si="9"/>
        <v>2050</v>
      </c>
      <c r="AM40" s="58">
        <f t="shared" si="9"/>
        <v>2051</v>
      </c>
      <c r="AN40" s="58">
        <f t="shared" si="9"/>
        <v>2052</v>
      </c>
      <c r="AO40" s="58">
        <f t="shared" ref="AO40" si="10">AN40+1</f>
        <v>2053</v>
      </c>
      <c r="AP40" s="58">
        <f t="shared" ref="AP40" si="11">AO40+1</f>
        <v>2054</v>
      </c>
      <c r="AQ40" s="58">
        <f t="shared" ref="AQ40" si="12">AP40+1</f>
        <v>2055</v>
      </c>
      <c r="AR40" s="125">
        <f t="shared" ref="AR40" si="13">AQ40+1</f>
        <v>2056</v>
      </c>
    </row>
    <row r="41" spans="1:44" x14ac:dyDescent="0.2">
      <c r="A41" s="380"/>
      <c r="B41" s="394" t="s">
        <v>12</v>
      </c>
      <c r="C41" s="380"/>
      <c r="D41" s="416">
        <f>SUM(F41:AR41)</f>
        <v>5.0914710204081661</v>
      </c>
      <c r="E41" s="416"/>
      <c r="F41" s="416">
        <f>Safety!F$79/1000000</f>
        <v>0</v>
      </c>
      <c r="G41" s="416">
        <f>Safety!G$79/1000000</f>
        <v>0</v>
      </c>
      <c r="H41" s="416">
        <f>Safety!H$79/1000000</f>
        <v>0</v>
      </c>
      <c r="I41" s="416">
        <f>Safety!I$79/1000000</f>
        <v>0</v>
      </c>
      <c r="J41" s="416">
        <f>Safety!J$79/1000000</f>
        <v>0</v>
      </c>
      <c r="K41" s="416">
        <f>Safety!K$79/1000000</f>
        <v>0</v>
      </c>
      <c r="L41" s="416">
        <f>Safety!L$79/1000000</f>
        <v>0</v>
      </c>
      <c r="M41" s="416">
        <f>Safety!M$79/1000000</f>
        <v>0</v>
      </c>
      <c r="N41" s="416">
        <f>Safety!N$79/1000000</f>
        <v>0</v>
      </c>
      <c r="O41" s="416">
        <f>Safety!O$79/1000000</f>
        <v>0.2332656326530613</v>
      </c>
      <c r="P41" s="416">
        <f>Safety!P$79/1000000</f>
        <v>0.23550857142857146</v>
      </c>
      <c r="Q41" s="416">
        <f>Safety!Q$79/1000000</f>
        <v>0.23775151020408164</v>
      </c>
      <c r="R41" s="416">
        <f>Safety!R$79/1000000</f>
        <v>0.23999444897959185</v>
      </c>
      <c r="S41" s="416">
        <f>Safety!S$79/1000000</f>
        <v>0.24223738775510206</v>
      </c>
      <c r="T41" s="416">
        <f>Safety!T$79/1000000</f>
        <v>0.24448032653061236</v>
      </c>
      <c r="U41" s="416">
        <f>Safety!U$79/1000000</f>
        <v>0.24672326530612254</v>
      </c>
      <c r="V41" s="416">
        <f>Safety!V$79/1000000</f>
        <v>0.24896620408163278</v>
      </c>
      <c r="W41" s="416">
        <f>Safety!W$79/1000000</f>
        <v>0.25120914285714296</v>
      </c>
      <c r="X41" s="416">
        <f>Safety!X$79/1000000</f>
        <v>0.2534520816326532</v>
      </c>
      <c r="Y41" s="416">
        <f>Safety!Y$79/1000000</f>
        <v>0.25569502040816339</v>
      </c>
      <c r="Z41" s="416">
        <f>Safety!Z$79/1000000</f>
        <v>0.25793795918367374</v>
      </c>
      <c r="AA41" s="416">
        <f>Safety!AA$79/1000000</f>
        <v>0.26018089795918381</v>
      </c>
      <c r="AB41" s="416">
        <f>Safety!AB$79/1000000</f>
        <v>0.26242383673469399</v>
      </c>
      <c r="AC41" s="416">
        <f>Safety!AC$79/1000000</f>
        <v>0.26466677551020418</v>
      </c>
      <c r="AD41" s="416">
        <f>Safety!AD$79/1000000</f>
        <v>0.26690971428571447</v>
      </c>
      <c r="AE41" s="416">
        <f>Safety!AE$79/1000000</f>
        <v>0.2691526530612246</v>
      </c>
      <c r="AF41" s="416">
        <f>Safety!AF$79/1000000</f>
        <v>0.27139559183673484</v>
      </c>
      <c r="AG41" s="416">
        <f>Safety!AG$79/1000000</f>
        <v>0.27363853061224519</v>
      </c>
      <c r="AH41" s="416">
        <f>Safety!AH$79/1000000</f>
        <v>0.27588146938775526</v>
      </c>
      <c r="AI41" s="416">
        <f>Safety!AI$79/1000000</f>
        <v>0</v>
      </c>
      <c r="AJ41" s="416">
        <f>Safety!AJ$79/1000000</f>
        <v>0</v>
      </c>
      <c r="AK41" s="416">
        <f>Safety!AK$79/1000000</f>
        <v>0</v>
      </c>
      <c r="AL41" s="416">
        <f>Safety!AL$79/1000000</f>
        <v>0</v>
      </c>
      <c r="AM41" s="416">
        <f>Safety!AM$79/1000000</f>
        <v>0</v>
      </c>
      <c r="AN41" s="416">
        <f>Safety!AN$79/1000000</f>
        <v>0</v>
      </c>
      <c r="AO41" s="416">
        <f>Safety!AO$79/1000000</f>
        <v>0</v>
      </c>
      <c r="AP41" s="416">
        <f>Safety!AP$79/1000000</f>
        <v>0</v>
      </c>
      <c r="AQ41" s="416">
        <f>Safety!AQ$79/1000000</f>
        <v>0</v>
      </c>
      <c r="AR41" s="416">
        <f>Safety!AR$79/1000000</f>
        <v>0</v>
      </c>
    </row>
    <row r="42" spans="1:44" x14ac:dyDescent="0.2">
      <c r="A42" s="380"/>
      <c r="B42" s="388" t="s">
        <v>13</v>
      </c>
      <c r="C42" s="380"/>
      <c r="D42" s="416">
        <f>SUM(F42:AR42)</f>
        <v>38.411912133695687</v>
      </c>
      <c r="E42" s="416"/>
      <c r="F42" s="416">
        <f>'Time Savings'!F$105/1000000</f>
        <v>0</v>
      </c>
      <c r="G42" s="416">
        <f>'Time Savings'!G$105/1000000</f>
        <v>0</v>
      </c>
      <c r="H42" s="416">
        <f>'Time Savings'!H$105/1000000</f>
        <v>0</v>
      </c>
      <c r="I42" s="416">
        <f>'Time Savings'!I$105/1000000</f>
        <v>0</v>
      </c>
      <c r="J42" s="416">
        <f>'Time Savings'!J$105/1000000</f>
        <v>0</v>
      </c>
      <c r="K42" s="416">
        <f>'Time Savings'!K$105/1000000</f>
        <v>0</v>
      </c>
      <c r="L42" s="416">
        <f>'Time Savings'!L$105/1000000</f>
        <v>0</v>
      </c>
      <c r="M42" s="416">
        <f>'Time Savings'!M$105/1000000</f>
        <v>0</v>
      </c>
      <c r="N42" s="416">
        <f>'Time Savings'!N$105/1000000</f>
        <v>0</v>
      </c>
      <c r="O42" s="416">
        <f>'Time Savings'!O$105/1000000</f>
        <v>0.90447260736956536</v>
      </c>
      <c r="P42" s="416">
        <f>'Time Savings'!P$105/1000000</f>
        <v>1.0114329230869568</v>
      </c>
      <c r="Q42" s="416">
        <f>'Time Savings'!Q$105/1000000</f>
        <v>1.1183932388043474</v>
      </c>
      <c r="R42" s="416">
        <f>'Time Savings'!R$105/1000000</f>
        <v>1.2253535545217391</v>
      </c>
      <c r="S42" s="416">
        <f>'Time Savings'!S$105/1000000</f>
        <v>1.3323138702391302</v>
      </c>
      <c r="T42" s="416">
        <f>'Time Savings'!T$105/1000000</f>
        <v>1.4392741859565221</v>
      </c>
      <c r="U42" s="416">
        <f>'Time Savings'!U$105/1000000</f>
        <v>1.5462345016739136</v>
      </c>
      <c r="V42" s="416">
        <f>'Time Savings'!V$105/1000000</f>
        <v>1.6531948173913047</v>
      </c>
      <c r="W42" s="416">
        <f>'Time Savings'!W$105/1000000</f>
        <v>1.7601551331086964</v>
      </c>
      <c r="X42" s="416">
        <f>'Time Savings'!X$105/1000000</f>
        <v>1.8671154488260886</v>
      </c>
      <c r="Y42" s="416">
        <f>'Time Savings'!Y$105/1000000</f>
        <v>1.9740757645434803</v>
      </c>
      <c r="Z42" s="416">
        <f>'Time Savings'!Z$105/1000000</f>
        <v>2.0810360802608709</v>
      </c>
      <c r="AA42" s="416">
        <f>'Time Savings'!AA$105/1000000</f>
        <v>2.1879963959782636</v>
      </c>
      <c r="AB42" s="416">
        <f>'Time Savings'!AB$105/1000000</f>
        <v>2.2949567116956557</v>
      </c>
      <c r="AC42" s="416">
        <f>'Time Savings'!AC$105/1000000</f>
        <v>2.401917027413047</v>
      </c>
      <c r="AD42" s="416">
        <f>'Time Savings'!AD$105/1000000</f>
        <v>2.5088773431304396</v>
      </c>
      <c r="AE42" s="416">
        <f>'Time Savings'!AE$105/1000000</f>
        <v>2.6158376588478287</v>
      </c>
      <c r="AF42" s="416">
        <f>'Time Savings'!AF$105/1000000</f>
        <v>2.7227979745652218</v>
      </c>
      <c r="AG42" s="416">
        <f>'Time Savings'!AG$105/1000000</f>
        <v>2.8297582902826122</v>
      </c>
      <c r="AH42" s="416">
        <f>'Time Savings'!AH$105/1000000</f>
        <v>2.9367186060000048</v>
      </c>
      <c r="AI42" s="416">
        <f>'Time Savings'!AI$105/1000000</f>
        <v>0</v>
      </c>
      <c r="AJ42" s="416">
        <f>'Time Savings'!AJ$105/1000000</f>
        <v>0</v>
      </c>
      <c r="AK42" s="416">
        <f>'Time Savings'!AK$105/1000000</f>
        <v>0</v>
      </c>
      <c r="AL42" s="416">
        <f>'Time Savings'!AL$105/1000000</f>
        <v>0</v>
      </c>
      <c r="AM42" s="416">
        <f>'Time Savings'!AM$105/1000000</f>
        <v>0</v>
      </c>
      <c r="AN42" s="416">
        <f>'Time Savings'!AN$105/1000000</f>
        <v>0</v>
      </c>
      <c r="AO42" s="416">
        <f>'Time Savings'!AO$105/1000000</f>
        <v>0</v>
      </c>
      <c r="AP42" s="416">
        <f>'Time Savings'!AP$105/1000000</f>
        <v>0</v>
      </c>
      <c r="AQ42" s="416">
        <f>'Time Savings'!AQ$105/1000000</f>
        <v>0</v>
      </c>
      <c r="AR42" s="416">
        <f>'Time Savings'!AR$105/1000000</f>
        <v>0</v>
      </c>
    </row>
    <row r="43" spans="1:44" x14ac:dyDescent="0.2">
      <c r="A43" s="380"/>
      <c r="B43" s="388" t="s">
        <v>14</v>
      </c>
      <c r="C43" s="380"/>
      <c r="D43" s="416">
        <f t="shared" ref="D43:D50" si="14">SUM(F43:AR43)</f>
        <v>12.206204871929893</v>
      </c>
      <c r="E43" s="416"/>
      <c r="F43" s="416">
        <f>'Veh Op Costs'!F$76/1000000</f>
        <v>0</v>
      </c>
      <c r="G43" s="416">
        <f>'Veh Op Costs'!G$76/1000000</f>
        <v>0</v>
      </c>
      <c r="H43" s="416">
        <f>'Veh Op Costs'!H$76/1000000</f>
        <v>0</v>
      </c>
      <c r="I43" s="416">
        <f>'Veh Op Costs'!I$76/1000000</f>
        <v>0</v>
      </c>
      <c r="J43" s="416">
        <f>'Veh Op Costs'!J$76/1000000</f>
        <v>0</v>
      </c>
      <c r="K43" s="416">
        <f>'Veh Op Costs'!K$76/1000000</f>
        <v>0</v>
      </c>
      <c r="L43" s="416">
        <f>'Veh Op Costs'!L$76/1000000</f>
        <v>0</v>
      </c>
      <c r="M43" s="416">
        <f>'Veh Op Costs'!M$76/1000000</f>
        <v>0</v>
      </c>
      <c r="N43" s="416">
        <f>'Veh Op Costs'!N$76/1000000</f>
        <v>0</v>
      </c>
      <c r="O43" s="416">
        <f>'Veh Op Costs'!O$76/1000000</f>
        <v>0.40289364923118481</v>
      </c>
      <c r="P43" s="416">
        <f>'Veh Op Costs'!P$76/1000000</f>
        <v>0.42271440380025832</v>
      </c>
      <c r="Q43" s="416">
        <f>'Veh Op Costs'!Q$76/1000000</f>
        <v>0.44356738010427182</v>
      </c>
      <c r="R43" s="416">
        <f>'Veh Op Costs'!R$76/1000000</f>
        <v>0.46521282844013057</v>
      </c>
      <c r="S43" s="416">
        <f>'Veh Op Costs'!S$76/1000000</f>
        <v>0.48478276462715231</v>
      </c>
      <c r="T43" s="416">
        <f>'Veh Op Costs'!T$76/1000000</f>
        <v>0.50753509279852738</v>
      </c>
      <c r="U43" s="416">
        <f>'Veh Op Costs'!U$76/1000000</f>
        <v>0.52906481411576101</v>
      </c>
      <c r="V43" s="416">
        <f>'Veh Op Costs'!V$76/1000000</f>
        <v>0.55117071959932362</v>
      </c>
      <c r="W43" s="416">
        <f>'Veh Op Costs'!W$76/1000000</f>
        <v>0.57285761060866869</v>
      </c>
      <c r="X43" s="416">
        <f>'Veh Op Costs'!X$76/1000000</f>
        <v>0.59941264357613067</v>
      </c>
      <c r="Y43" s="416">
        <f>'Veh Op Costs'!Y$76/1000000</f>
        <v>0.6209868421949023</v>
      </c>
      <c r="Z43" s="416">
        <f>'Veh Op Costs'!Z$76/1000000</f>
        <v>0.64358229342578821</v>
      </c>
      <c r="AA43" s="416">
        <f>'Veh Op Costs'!AA$76/1000000</f>
        <v>0.6671002137112394</v>
      </c>
      <c r="AB43" s="416">
        <f>'Veh Op Costs'!AB$76/1000000</f>
        <v>0.68879035663055732</v>
      </c>
      <c r="AC43" s="416">
        <f>'Veh Op Costs'!AC$76/1000000</f>
        <v>0.70976244709447867</v>
      </c>
      <c r="AD43" s="416">
        <f>'Veh Op Costs'!AD$76/1000000</f>
        <v>0.73239672196991612</v>
      </c>
      <c r="AE43" s="416">
        <f>'Veh Op Costs'!AE$76/1000000</f>
        <v>0.75043690186214695</v>
      </c>
      <c r="AF43" s="416">
        <f>'Veh Op Costs'!AF$76/1000000</f>
        <v>0.77599671969562534</v>
      </c>
      <c r="AG43" s="416">
        <f>'Veh Op Costs'!AG$76/1000000</f>
        <v>0.79724391840845688</v>
      </c>
      <c r="AH43" s="416">
        <f>'Veh Op Costs'!AH$76/1000000</f>
        <v>0.84069655003537547</v>
      </c>
      <c r="AI43" s="416">
        <f>'Veh Op Costs'!AI$76/1000000</f>
        <v>0</v>
      </c>
      <c r="AJ43" s="416">
        <f>'Veh Op Costs'!AJ$76/1000000</f>
        <v>0</v>
      </c>
      <c r="AK43" s="416">
        <f>'Veh Op Costs'!AK$76/1000000</f>
        <v>0</v>
      </c>
      <c r="AL43" s="416">
        <f>'Veh Op Costs'!AL$76/1000000</f>
        <v>0</v>
      </c>
      <c r="AM43" s="416">
        <f>'Veh Op Costs'!AM$76/1000000</f>
        <v>0</v>
      </c>
      <c r="AN43" s="416">
        <f>'Veh Op Costs'!AN$76/1000000</f>
        <v>0</v>
      </c>
      <c r="AO43" s="416">
        <f>'Veh Op Costs'!AO$76/1000000</f>
        <v>0</v>
      </c>
      <c r="AP43" s="416">
        <f>'Veh Op Costs'!AP$76/1000000</f>
        <v>0</v>
      </c>
      <c r="AQ43" s="416">
        <f>'Veh Op Costs'!AQ$76/1000000</f>
        <v>0</v>
      </c>
      <c r="AR43" s="416">
        <f>'Veh Op Costs'!AR$76/1000000</f>
        <v>0</v>
      </c>
    </row>
    <row r="44" spans="1:44" x14ac:dyDescent="0.2">
      <c r="A44" s="380"/>
      <c r="B44" s="388" t="s">
        <v>35</v>
      </c>
      <c r="C44" s="380"/>
      <c r="D44" s="416">
        <f t="shared" si="14"/>
        <v>0.31604422616860189</v>
      </c>
      <c r="E44" s="416"/>
      <c r="F44" s="416">
        <f>Emissions!F$98/1000000</f>
        <v>0</v>
      </c>
      <c r="G44" s="416">
        <f>Emissions!G$98/1000000</f>
        <v>0</v>
      </c>
      <c r="H44" s="416">
        <f>Emissions!H$98/1000000</f>
        <v>0</v>
      </c>
      <c r="I44" s="416">
        <f>Emissions!I$98/1000000</f>
        <v>0</v>
      </c>
      <c r="J44" s="416">
        <f>Emissions!J$98/1000000</f>
        <v>0</v>
      </c>
      <c r="K44" s="416">
        <f>Emissions!K$98/1000000</f>
        <v>0</v>
      </c>
      <c r="L44" s="416">
        <f>Emissions!L$98/1000000</f>
        <v>0</v>
      </c>
      <c r="M44" s="416">
        <f>Emissions!M$98/1000000</f>
        <v>0</v>
      </c>
      <c r="N44" s="416">
        <f>Emissions!N$98/1000000</f>
        <v>0</v>
      </c>
      <c r="O44" s="416">
        <f>Emissions!O$98/1000000</f>
        <v>7.6619934704355548E-3</v>
      </c>
      <c r="P44" s="416">
        <f>Emissions!P$98/1000000</f>
        <v>8.5571220869180911E-3</v>
      </c>
      <c r="Q44" s="416">
        <f>Emissions!Q$98/1000000</f>
        <v>9.5136538685641064E-3</v>
      </c>
      <c r="R44" s="416">
        <f>Emissions!R$98/1000000</f>
        <v>1.0456906212711154E-2</v>
      </c>
      <c r="S44" s="416">
        <f>Emissions!S$98/1000000</f>
        <v>1.1277675541322758E-2</v>
      </c>
      <c r="T44" s="416">
        <f>Emissions!T$98/1000000</f>
        <v>1.2097060246086651E-2</v>
      </c>
      <c r="U44" s="416">
        <f>Emissions!U$98/1000000</f>
        <v>1.2920824226275799E-2</v>
      </c>
      <c r="V44" s="416">
        <f>Emissions!V$98/1000000</f>
        <v>1.3746185353972972E-2</v>
      </c>
      <c r="W44" s="416">
        <f>Emissions!W$98/1000000</f>
        <v>1.4569562927506951E-2</v>
      </c>
      <c r="X44" s="416">
        <f>Emissions!X$98/1000000</f>
        <v>1.5397918706781682E-2</v>
      </c>
      <c r="Y44" s="416">
        <f>Emissions!Y$98/1000000</f>
        <v>1.6227871633564449E-2</v>
      </c>
      <c r="Z44" s="416">
        <f>Emissions!Z$98/1000000</f>
        <v>1.7055242075868483E-2</v>
      </c>
      <c r="AA44" s="416">
        <f>Emissions!AA$98/1000000</f>
        <v>1.7888189654228795E-2</v>
      </c>
      <c r="AB44" s="416">
        <f>Emissions!AB$98/1000000</f>
        <v>1.8722734380097115E-2</v>
      </c>
      <c r="AC44" s="416">
        <f>Emissions!AC$98/1000000</f>
        <v>1.9558876253473492E-2</v>
      </c>
      <c r="AD44" s="416">
        <f>Emissions!AD$98/1000000</f>
        <v>2.039661527435788E-2</v>
      </c>
      <c r="AE44" s="416">
        <f>Emissions!AE$98/1000000</f>
        <v>2.1235951442750294E-2</v>
      </c>
      <c r="AF44" s="416">
        <f>Emissions!AF$98/1000000</f>
        <v>2.2076884758650741E-2</v>
      </c>
      <c r="AG44" s="416">
        <f>Emissions!AG$98/1000000</f>
        <v>2.2919415222059224E-2</v>
      </c>
      <c r="AH44" s="416">
        <f>Emissions!AH$98/1000000</f>
        <v>2.3763542832975697E-2</v>
      </c>
      <c r="AI44" s="416">
        <f>Emissions!AI$98/1000000</f>
        <v>0</v>
      </c>
      <c r="AJ44" s="416">
        <f>Emissions!AJ$98/1000000</f>
        <v>0</v>
      </c>
      <c r="AK44" s="416">
        <f>Emissions!AK$98/1000000</f>
        <v>0</v>
      </c>
      <c r="AL44" s="416">
        <f>Emissions!AL$98/1000000</f>
        <v>0</v>
      </c>
      <c r="AM44" s="416">
        <f>Emissions!AM$98/1000000</f>
        <v>0</v>
      </c>
      <c r="AN44" s="416">
        <f>Emissions!AN$98/1000000</f>
        <v>0</v>
      </c>
      <c r="AO44" s="416">
        <f>Emissions!AO$98/1000000</f>
        <v>0</v>
      </c>
      <c r="AP44" s="416">
        <f>Emissions!AP$98/1000000</f>
        <v>0</v>
      </c>
      <c r="AQ44" s="416">
        <f>Emissions!AQ$98/1000000</f>
        <v>0</v>
      </c>
      <c r="AR44" s="416">
        <f>Emissions!AR$98/1000000</f>
        <v>0</v>
      </c>
    </row>
    <row r="45" spans="1:44" x14ac:dyDescent="0.2">
      <c r="A45" s="380"/>
      <c r="B45" s="388" t="s">
        <v>36</v>
      </c>
      <c r="C45" s="380"/>
      <c r="D45" s="416">
        <f t="shared" si="14"/>
        <v>5.2860756813091259</v>
      </c>
      <c r="E45" s="416"/>
      <c r="F45" s="416">
        <f>Pedestrian!F$58/1000000</f>
        <v>0</v>
      </c>
      <c r="G45" s="416">
        <f>Pedestrian!G$58/1000000</f>
        <v>0</v>
      </c>
      <c r="H45" s="416">
        <f>Pedestrian!H$58/1000000</f>
        <v>0</v>
      </c>
      <c r="I45" s="416">
        <f>Pedestrian!I$58/1000000</f>
        <v>0</v>
      </c>
      <c r="J45" s="416">
        <f>Pedestrian!J$58/1000000</f>
        <v>0</v>
      </c>
      <c r="K45" s="416">
        <f>Pedestrian!K$58/1000000</f>
        <v>0</v>
      </c>
      <c r="L45" s="416">
        <f>Pedestrian!L$58/1000000</f>
        <v>0</v>
      </c>
      <c r="M45" s="416">
        <f>Pedestrian!M$58/1000000</f>
        <v>0</v>
      </c>
      <c r="N45" s="416">
        <f>Pedestrian!N$58/1000000</f>
        <v>0</v>
      </c>
      <c r="O45" s="416">
        <f>Pedestrian!O$58/1000000</f>
        <v>0.18395691083380072</v>
      </c>
      <c r="P45" s="416">
        <f>Pedestrian!P$58/1000000</f>
        <v>0.21903043303057498</v>
      </c>
      <c r="Q45" s="416">
        <f>Pedestrian!Q$58/1000000</f>
        <v>0.25475113781041092</v>
      </c>
      <c r="R45" s="416">
        <f>Pedestrian!R$58/1000000</f>
        <v>0.25667725924469426</v>
      </c>
      <c r="S45" s="416">
        <f>Pedestrian!S$58/1000000</f>
        <v>0.25860682852424527</v>
      </c>
      <c r="T45" s="416">
        <f>Pedestrian!T$58/1000000</f>
        <v>0.26053986426485609</v>
      </c>
      <c r="U45" s="416">
        <f>Pedestrian!U$58/1000000</f>
        <v>0.26247638518283012</v>
      </c>
      <c r="V45" s="416">
        <f>Pedestrian!V$58/1000000</f>
        <v>0.26441641009552475</v>
      </c>
      <c r="W45" s="416">
        <f>Pedestrian!W$58/1000000</f>
        <v>0.26635995792189732</v>
      </c>
      <c r="X45" s="416">
        <f>Pedestrian!X$58/1000000</f>
        <v>0.26830704768305302</v>
      </c>
      <c r="Y45" s="416">
        <f>Pedestrian!Y$58/1000000</f>
        <v>0.27025769850279724</v>
      </c>
      <c r="Z45" s="416">
        <f>Pedestrian!Z$58/1000000</f>
        <v>0.27221192960818941</v>
      </c>
      <c r="AA45" s="416">
        <f>Pedestrian!AA$58/1000000</f>
        <v>0.27416976033010065</v>
      </c>
      <c r="AB45" s="416">
        <f>Pedestrian!AB$58/1000000</f>
        <v>0.27613121010377478</v>
      </c>
      <c r="AC45" s="416">
        <f>Pedestrian!AC$58/1000000</f>
        <v>0.27809629846939082</v>
      </c>
      <c r="AD45" s="416">
        <f>Pedestrian!AD$58/1000000</f>
        <v>0.28006504507263086</v>
      </c>
      <c r="AE45" s="416">
        <f>Pedestrian!AE$58/1000000</f>
        <v>0.2820374696652484</v>
      </c>
      <c r="AF45" s="416">
        <f>Pedestrian!AF$58/1000000</f>
        <v>0.28401359210564203</v>
      </c>
      <c r="AG45" s="416">
        <f>Pedestrian!AG$58/1000000</f>
        <v>0.2859934323594307</v>
      </c>
      <c r="AH45" s="416">
        <f>Pedestrian!AH$58/1000000</f>
        <v>0.28797701050003316</v>
      </c>
      <c r="AI45" s="416">
        <f>Pedestrian!AI$58/1000000</f>
        <v>0</v>
      </c>
      <c r="AJ45" s="416">
        <f>Pedestrian!AJ$58/1000000</f>
        <v>0</v>
      </c>
      <c r="AK45" s="416">
        <f>Pedestrian!AK$58/1000000</f>
        <v>0</v>
      </c>
      <c r="AL45" s="416">
        <f>Pedestrian!AL$58/1000000</f>
        <v>0</v>
      </c>
      <c r="AM45" s="416">
        <f>Pedestrian!AM$58/1000000</f>
        <v>0</v>
      </c>
      <c r="AN45" s="416">
        <f>Pedestrian!AN$58/1000000</f>
        <v>0</v>
      </c>
      <c r="AO45" s="416">
        <f>Pedestrian!AO$58/1000000</f>
        <v>0</v>
      </c>
      <c r="AP45" s="416">
        <f>Pedestrian!AP$58/1000000</f>
        <v>0</v>
      </c>
      <c r="AQ45" s="416">
        <f>Pedestrian!AQ$58/1000000</f>
        <v>0</v>
      </c>
      <c r="AR45" s="416">
        <f>Pedestrian!AR$58/1000000</f>
        <v>0</v>
      </c>
    </row>
    <row r="46" spans="1:44" x14ac:dyDescent="0.2">
      <c r="A46" s="380"/>
      <c r="B46" s="388" t="s">
        <v>17</v>
      </c>
      <c r="C46" s="380"/>
      <c r="D46" s="416">
        <f t="shared" ref="D46" si="15">SUM(F46:AR46)</f>
        <v>2.7211943901999995</v>
      </c>
      <c r="E46" s="416"/>
      <c r="F46" s="416">
        <f>'Induced Peds'!F$41/1000000</f>
        <v>0</v>
      </c>
      <c r="G46" s="416">
        <f>'Induced Peds'!G$41/1000000</f>
        <v>0</v>
      </c>
      <c r="H46" s="416">
        <f>'Induced Peds'!H$41/1000000</f>
        <v>0</v>
      </c>
      <c r="I46" s="416">
        <f>'Induced Peds'!I$41/1000000</f>
        <v>0</v>
      </c>
      <c r="J46" s="416">
        <f>'Induced Peds'!J$41/1000000</f>
        <v>0</v>
      </c>
      <c r="K46" s="416">
        <f>'Induced Peds'!K$41/1000000</f>
        <v>0</v>
      </c>
      <c r="L46" s="416">
        <f>'Induced Peds'!L$41/1000000</f>
        <v>0</v>
      </c>
      <c r="M46" s="416">
        <f>'Induced Peds'!M$41/1000000</f>
        <v>0</v>
      </c>
      <c r="N46" s="416">
        <f>'Induced Peds'!N$41/1000000</f>
        <v>0</v>
      </c>
      <c r="O46" s="416">
        <f>'Induced Peds'!O$41/1000000</f>
        <v>6.4561244799999973E-2</v>
      </c>
      <c r="P46" s="416">
        <f>'Induced Peds'!P$41/1000000</f>
        <v>9.7773038999999964E-2</v>
      </c>
      <c r="Q46" s="416">
        <f>'Induced Peds'!Q$41/1000000</f>
        <v>0.13160561439999993</v>
      </c>
      <c r="R46" s="416">
        <f>'Induced Peds'!R$41/1000000</f>
        <v>0.13284717679999997</v>
      </c>
      <c r="S46" s="416">
        <f>'Induced Peds'!S$41/1000000</f>
        <v>0.13408873919999995</v>
      </c>
      <c r="T46" s="416">
        <f>'Induced Peds'!T$41/1000000</f>
        <v>0.13533030159999995</v>
      </c>
      <c r="U46" s="416">
        <f>'Induced Peds'!U$41/1000000</f>
        <v>0.13657186399999996</v>
      </c>
      <c r="V46" s="416">
        <f>'Induced Peds'!V$41/1000000</f>
        <v>0.13781342639999997</v>
      </c>
      <c r="W46" s="416">
        <f>'Induced Peds'!W$41/1000000</f>
        <v>0.1390549888</v>
      </c>
      <c r="X46" s="416">
        <f>'Induced Peds'!X$41/1000000</f>
        <v>0.14029655119999998</v>
      </c>
      <c r="Y46" s="416">
        <f>'Induced Peds'!Y$41/1000000</f>
        <v>0.14153811359999999</v>
      </c>
      <c r="Z46" s="416">
        <f>'Induced Peds'!Z$41/1000000</f>
        <v>0.14277967599999999</v>
      </c>
      <c r="AA46" s="416">
        <f>'Induced Peds'!AA$41/1000000</f>
        <v>0.1440212384</v>
      </c>
      <c r="AB46" s="416">
        <f>'Induced Peds'!AB$41/1000000</f>
        <v>0.14526280080000004</v>
      </c>
      <c r="AC46" s="416">
        <f>'Induced Peds'!AC$41/1000000</f>
        <v>0.14650436320000002</v>
      </c>
      <c r="AD46" s="416">
        <f>'Induced Peds'!AD$41/1000000</f>
        <v>0.14774592560000005</v>
      </c>
      <c r="AE46" s="416">
        <f>'Induced Peds'!AE$41/1000000</f>
        <v>0.14898748800000003</v>
      </c>
      <c r="AF46" s="416">
        <f>'Induced Peds'!AF$41/1000000</f>
        <v>0.15022905040000006</v>
      </c>
      <c r="AG46" s="416">
        <f>'Induced Peds'!AG$41/1000000</f>
        <v>0.15147061280000007</v>
      </c>
      <c r="AH46" s="416">
        <f>'Induced Peds'!AH$41/1000000</f>
        <v>0.15271217520000005</v>
      </c>
      <c r="AI46" s="416">
        <f>'Induced Peds'!AI$41/1000000</f>
        <v>0</v>
      </c>
      <c r="AJ46" s="416">
        <f>'Induced Peds'!AJ$41/1000000</f>
        <v>0</v>
      </c>
      <c r="AK46" s="416">
        <f>'Induced Peds'!AK$41/1000000</f>
        <v>0</v>
      </c>
      <c r="AL46" s="416">
        <f>'Induced Peds'!AL$41/1000000</f>
        <v>0</v>
      </c>
      <c r="AM46" s="416">
        <f>'Induced Peds'!AM$41/1000000</f>
        <v>0</v>
      </c>
      <c r="AN46" s="416">
        <f>'Induced Peds'!AN$41/1000000</f>
        <v>0</v>
      </c>
      <c r="AO46" s="416">
        <f>'Induced Peds'!AO$41/1000000</f>
        <v>0</v>
      </c>
      <c r="AP46" s="416">
        <f>'Induced Peds'!AP$41/1000000</f>
        <v>0</v>
      </c>
      <c r="AQ46" s="416">
        <f>'Induced Peds'!AQ$41/1000000</f>
        <v>0</v>
      </c>
      <c r="AR46" s="416">
        <f>'Induced Peds'!AR$41/1000000</f>
        <v>0</v>
      </c>
    </row>
    <row r="47" spans="1:44" x14ac:dyDescent="0.2">
      <c r="A47" s="380"/>
      <c r="B47" s="397" t="s">
        <v>18</v>
      </c>
      <c r="C47" s="380"/>
      <c r="D47" s="416">
        <f t="shared" si="14"/>
        <v>3.4526203842844203E-2</v>
      </c>
      <c r="E47" s="416"/>
      <c r="F47" s="416">
        <f>'Bridge Hits'!F$45/1000000</f>
        <v>0</v>
      </c>
      <c r="G47" s="416">
        <f>'Bridge Hits'!G$45/1000000</f>
        <v>0</v>
      </c>
      <c r="H47" s="416">
        <f>'Bridge Hits'!H$45/1000000</f>
        <v>0</v>
      </c>
      <c r="I47" s="416">
        <f>'Bridge Hits'!I$45/1000000</f>
        <v>0</v>
      </c>
      <c r="J47" s="416">
        <f>'Bridge Hits'!J$45/1000000</f>
        <v>0</v>
      </c>
      <c r="K47" s="416">
        <f>'Bridge Hits'!K$45/1000000</f>
        <v>0</v>
      </c>
      <c r="L47" s="416">
        <f>'Bridge Hits'!L$45/1000000</f>
        <v>0</v>
      </c>
      <c r="M47" s="416">
        <f>'Bridge Hits'!M$45/1000000</f>
        <v>0</v>
      </c>
      <c r="N47" s="416">
        <f>'Bridge Hits'!N$45/1000000</f>
        <v>0</v>
      </c>
      <c r="O47" s="416">
        <f>'Bridge Hits'!O$45/1000000</f>
        <v>1.7263101921422101E-3</v>
      </c>
      <c r="P47" s="416">
        <f>'Bridge Hits'!P$45/1000000</f>
        <v>1.7263101921422101E-3</v>
      </c>
      <c r="Q47" s="416">
        <f>'Bridge Hits'!Q$45/1000000</f>
        <v>1.7263101921422101E-3</v>
      </c>
      <c r="R47" s="416">
        <f>'Bridge Hits'!R$45/1000000</f>
        <v>1.7263101921422101E-3</v>
      </c>
      <c r="S47" s="416">
        <f>'Bridge Hits'!S$45/1000000</f>
        <v>1.7263101921422101E-3</v>
      </c>
      <c r="T47" s="416">
        <f>'Bridge Hits'!T$45/1000000</f>
        <v>1.7263101921422101E-3</v>
      </c>
      <c r="U47" s="416">
        <f>'Bridge Hits'!U$45/1000000</f>
        <v>1.7263101921422101E-3</v>
      </c>
      <c r="V47" s="416">
        <f>'Bridge Hits'!V$45/1000000</f>
        <v>1.7263101921422101E-3</v>
      </c>
      <c r="W47" s="416">
        <f>'Bridge Hits'!W$45/1000000</f>
        <v>1.7263101921422101E-3</v>
      </c>
      <c r="X47" s="416">
        <f>'Bridge Hits'!X$45/1000000</f>
        <v>1.7263101921422101E-3</v>
      </c>
      <c r="Y47" s="416">
        <f>'Bridge Hits'!Y$45/1000000</f>
        <v>1.7263101921422101E-3</v>
      </c>
      <c r="Z47" s="416">
        <f>'Bridge Hits'!Z$45/1000000</f>
        <v>1.7263101921422101E-3</v>
      </c>
      <c r="AA47" s="416">
        <f>'Bridge Hits'!AA$45/1000000</f>
        <v>1.7263101921422101E-3</v>
      </c>
      <c r="AB47" s="416">
        <f>'Bridge Hits'!AB$45/1000000</f>
        <v>1.7263101921422101E-3</v>
      </c>
      <c r="AC47" s="416">
        <f>'Bridge Hits'!AC$45/1000000</f>
        <v>1.7263101921422101E-3</v>
      </c>
      <c r="AD47" s="416">
        <f>'Bridge Hits'!AD$45/1000000</f>
        <v>1.7263101921422101E-3</v>
      </c>
      <c r="AE47" s="416">
        <f>'Bridge Hits'!AE$45/1000000</f>
        <v>1.7263101921422101E-3</v>
      </c>
      <c r="AF47" s="416">
        <f>'Bridge Hits'!AF$45/1000000</f>
        <v>1.7263101921422101E-3</v>
      </c>
      <c r="AG47" s="416">
        <f>'Bridge Hits'!AG$45/1000000</f>
        <v>1.7263101921422101E-3</v>
      </c>
      <c r="AH47" s="416">
        <f>'Bridge Hits'!AH$45/1000000</f>
        <v>1.7263101921422101E-3</v>
      </c>
      <c r="AI47" s="416">
        <f>'Bridge Hits'!AI$45/1000000</f>
        <v>0</v>
      </c>
      <c r="AJ47" s="416">
        <f>'Bridge Hits'!AJ$45/1000000</f>
        <v>0</v>
      </c>
      <c r="AK47" s="416">
        <f>'Bridge Hits'!AK$45/1000000</f>
        <v>0</v>
      </c>
      <c r="AL47" s="416">
        <f>'Bridge Hits'!AL$45/1000000</f>
        <v>0</v>
      </c>
      <c r="AM47" s="416">
        <f>'Bridge Hits'!AM$45/1000000</f>
        <v>0</v>
      </c>
      <c r="AN47" s="416">
        <f>'Bridge Hits'!AN$45/1000000</f>
        <v>0</v>
      </c>
      <c r="AO47" s="416">
        <f>'Bridge Hits'!AO$45/1000000</f>
        <v>0</v>
      </c>
      <c r="AP47" s="416">
        <f>'Bridge Hits'!AP$45/1000000</f>
        <v>0</v>
      </c>
      <c r="AQ47" s="416">
        <f>'Bridge Hits'!AQ$45/1000000</f>
        <v>0</v>
      </c>
      <c r="AR47" s="416">
        <f>'Bridge Hits'!AR$45/1000000</f>
        <v>0</v>
      </c>
    </row>
    <row r="48" spans="1:44" x14ac:dyDescent="0.2">
      <c r="A48" s="380"/>
      <c r="B48" s="388" t="s">
        <v>37</v>
      </c>
      <c r="C48" s="380"/>
      <c r="D48" s="416">
        <f>SUM(F48:AR48)</f>
        <v>3.6161773652176512</v>
      </c>
      <c r="E48" s="416"/>
      <c r="F48" s="416">
        <f>-'Project Costs'!F$71/1000000</f>
        <v>0</v>
      </c>
      <c r="G48" s="416">
        <f>-'Project Costs'!G$71/1000000</f>
        <v>0</v>
      </c>
      <c r="H48" s="416">
        <f>-'Project Costs'!H$71/1000000</f>
        <v>0</v>
      </c>
      <c r="I48" s="416">
        <f>-'Project Costs'!I$71/1000000</f>
        <v>0</v>
      </c>
      <c r="J48" s="416">
        <f>-'Project Costs'!J$71/1000000</f>
        <v>0</v>
      </c>
      <c r="K48" s="416">
        <f>-'Project Costs'!K$71/1000000</f>
        <v>0</v>
      </c>
      <c r="L48" s="416">
        <f>-'Project Costs'!L$71/1000000</f>
        <v>0</v>
      </c>
      <c r="M48" s="416">
        <f>-'Project Costs'!M$71/1000000</f>
        <v>0</v>
      </c>
      <c r="N48" s="416">
        <f>-'Project Costs'!N$71/1000000</f>
        <v>0</v>
      </c>
      <c r="O48" s="416">
        <f>-'Project Costs'!O$71/1000000</f>
        <v>-0.32670678312498136</v>
      </c>
      <c r="P48" s="416">
        <f>-'Project Costs'!P$71/1000000</f>
        <v>0</v>
      </c>
      <c r="Q48" s="416">
        <f>-'Project Costs'!Q$71/1000000</f>
        <v>0</v>
      </c>
      <c r="R48" s="416">
        <f>-'Project Costs'!R$71/1000000</f>
        <v>1.5047180982784856</v>
      </c>
      <c r="S48" s="416">
        <f>-'Project Costs'!S$71/1000000</f>
        <v>0</v>
      </c>
      <c r="T48" s="416">
        <f>-'Project Costs'!T$71/1000000</f>
        <v>0</v>
      </c>
      <c r="U48" s="416">
        <f>-'Project Costs'!U$71/1000000</f>
        <v>0</v>
      </c>
      <c r="V48" s="416">
        <f>-'Project Costs'!V$71/1000000</f>
        <v>0</v>
      </c>
      <c r="W48" s="416">
        <f>-'Project Costs'!W$71/1000000</f>
        <v>0.93344795178566098</v>
      </c>
      <c r="X48" s="416">
        <f>-'Project Costs'!X$71/1000000</f>
        <v>0</v>
      </c>
      <c r="Y48" s="416">
        <f>-'Project Costs'!Y$71/1000000</f>
        <v>0</v>
      </c>
      <c r="Z48" s="416">
        <f>-'Project Costs'!Z$71/1000000</f>
        <v>0</v>
      </c>
      <c r="AA48" s="416">
        <f>-'Project Costs'!AA$71/1000000</f>
        <v>0</v>
      </c>
      <c r="AB48" s="416">
        <f>-'Project Costs'!AB$71/1000000</f>
        <v>0</v>
      </c>
      <c r="AC48" s="416">
        <f>-'Project Costs'!AC$71/1000000</f>
        <v>0</v>
      </c>
      <c r="AD48" s="416">
        <f>-'Project Costs'!AD$71/1000000</f>
        <v>0</v>
      </c>
      <c r="AE48" s="416">
        <f>-'Project Costs'!AE$71/1000000</f>
        <v>0</v>
      </c>
      <c r="AF48" s="416">
        <f>-'Project Costs'!AF$71/1000000</f>
        <v>0</v>
      </c>
      <c r="AG48" s="416">
        <f>-'Project Costs'!AG$71/1000000</f>
        <v>1.5047180982784856</v>
      </c>
      <c r="AH48" s="416">
        <f>-'Project Costs'!AH$71/1000000</f>
        <v>0</v>
      </c>
      <c r="AI48" s="416">
        <f>-'Project Costs'!AI$71/1000000</f>
        <v>0</v>
      </c>
      <c r="AJ48" s="416">
        <f>-'Project Costs'!AJ$71/1000000</f>
        <v>0</v>
      </c>
      <c r="AK48" s="416">
        <f>-'Project Costs'!AK$71/1000000</f>
        <v>0</v>
      </c>
      <c r="AL48" s="416">
        <f>-'Project Costs'!AL$71/1000000</f>
        <v>0</v>
      </c>
      <c r="AM48" s="416">
        <f>-'Project Costs'!AM$71/1000000</f>
        <v>0</v>
      </c>
      <c r="AN48" s="416">
        <f>-'Project Costs'!AN$71/1000000</f>
        <v>0</v>
      </c>
      <c r="AO48" s="416">
        <f>-'Project Costs'!AO$71/1000000</f>
        <v>0</v>
      </c>
      <c r="AP48" s="416">
        <f>-'Project Costs'!AP$71/1000000</f>
        <v>0</v>
      </c>
      <c r="AQ48" s="416">
        <f>-'Project Costs'!AQ$71/1000000</f>
        <v>0</v>
      </c>
      <c r="AR48" s="416">
        <f>-'Project Costs'!AR$71/1000000</f>
        <v>0</v>
      </c>
    </row>
    <row r="49" spans="1:44" x14ac:dyDescent="0.2">
      <c r="A49" s="380"/>
      <c r="B49" s="397" t="s">
        <v>20</v>
      </c>
      <c r="C49" s="380"/>
      <c r="D49" s="416">
        <f t="shared" si="14"/>
        <v>0</v>
      </c>
      <c r="E49" s="416"/>
      <c r="F49" s="416">
        <f>'Residual Value'!F$54/1000000</f>
        <v>0</v>
      </c>
      <c r="G49" s="416">
        <f>'Residual Value'!G$54/1000000</f>
        <v>0</v>
      </c>
      <c r="H49" s="416">
        <f>'Residual Value'!H$54/1000000</f>
        <v>0</v>
      </c>
      <c r="I49" s="416">
        <f>'Residual Value'!I$54/1000000</f>
        <v>0</v>
      </c>
      <c r="J49" s="416">
        <f>'Residual Value'!J$54/1000000</f>
        <v>0</v>
      </c>
      <c r="K49" s="416">
        <f>'Residual Value'!K$54/1000000</f>
        <v>0</v>
      </c>
      <c r="L49" s="416">
        <f>'Residual Value'!L$54/1000000</f>
        <v>0</v>
      </c>
      <c r="M49" s="416">
        <f>'Residual Value'!M$54/1000000</f>
        <v>0</v>
      </c>
      <c r="N49" s="416">
        <f>'Residual Value'!N$54/1000000</f>
        <v>0</v>
      </c>
      <c r="O49" s="416">
        <f>'Residual Value'!O$54/1000000</f>
        <v>0</v>
      </c>
      <c r="P49" s="416">
        <f>'Residual Value'!P$54/1000000</f>
        <v>0</v>
      </c>
      <c r="Q49" s="416">
        <f>'Residual Value'!Q$54/1000000</f>
        <v>0</v>
      </c>
      <c r="R49" s="416">
        <f>'Residual Value'!R$54/1000000</f>
        <v>0</v>
      </c>
      <c r="S49" s="416">
        <f>'Residual Value'!S$54/1000000</f>
        <v>0</v>
      </c>
      <c r="T49" s="416">
        <f>'Residual Value'!T$54/1000000</f>
        <v>0</v>
      </c>
      <c r="U49" s="416">
        <f>'Residual Value'!U$54/1000000</f>
        <v>0</v>
      </c>
      <c r="V49" s="416">
        <f>'Residual Value'!V$54/1000000</f>
        <v>0</v>
      </c>
      <c r="W49" s="416">
        <f>'Residual Value'!W$54/1000000</f>
        <v>0</v>
      </c>
      <c r="X49" s="416">
        <f>'Residual Value'!X$54/1000000</f>
        <v>0</v>
      </c>
      <c r="Y49" s="416">
        <f>'Residual Value'!Y$54/1000000</f>
        <v>0</v>
      </c>
      <c r="Z49" s="416">
        <f>'Residual Value'!Z$54/1000000</f>
        <v>0</v>
      </c>
      <c r="AA49" s="416">
        <f>'Residual Value'!AA$54/1000000</f>
        <v>0</v>
      </c>
      <c r="AB49" s="416">
        <f>'Residual Value'!AB$54/1000000</f>
        <v>0</v>
      </c>
      <c r="AC49" s="416">
        <f>'Residual Value'!AC$54/1000000</f>
        <v>0</v>
      </c>
      <c r="AD49" s="416">
        <f>'Residual Value'!AD$54/1000000</f>
        <v>0</v>
      </c>
      <c r="AE49" s="416">
        <f>'Residual Value'!AE$54/1000000</f>
        <v>0</v>
      </c>
      <c r="AF49" s="416">
        <f>'Residual Value'!AF$54/1000000</f>
        <v>0</v>
      </c>
      <c r="AG49" s="416">
        <f>'Residual Value'!AG$54/1000000</f>
        <v>0</v>
      </c>
      <c r="AH49" s="416">
        <f>'Residual Value'!AH$54/1000000</f>
        <v>0</v>
      </c>
      <c r="AI49" s="416">
        <f>'Residual Value'!AI$54/1000000</f>
        <v>0</v>
      </c>
      <c r="AJ49" s="416">
        <f>'Residual Value'!AJ$54/1000000</f>
        <v>0</v>
      </c>
      <c r="AK49" s="416">
        <f>'Residual Value'!AK$54/1000000</f>
        <v>0</v>
      </c>
      <c r="AL49" s="416">
        <f>'Residual Value'!AL$54/1000000</f>
        <v>0</v>
      </c>
      <c r="AM49" s="416">
        <f>'Residual Value'!AM$54/1000000</f>
        <v>0</v>
      </c>
      <c r="AN49" s="416">
        <f>'Residual Value'!AN$54/1000000</f>
        <v>0</v>
      </c>
      <c r="AO49" s="416">
        <f>'Residual Value'!AO$54/1000000</f>
        <v>0</v>
      </c>
      <c r="AP49" s="416">
        <f>'Residual Value'!AP$54/1000000</f>
        <v>0</v>
      </c>
      <c r="AQ49" s="416">
        <f>'Residual Value'!AQ$54/1000000</f>
        <v>0</v>
      </c>
      <c r="AR49" s="416">
        <f>'Residual Value'!AR$54/1000000</f>
        <v>0</v>
      </c>
    </row>
    <row r="50" spans="1:44" ht="15.75" thickBot="1" x14ac:dyDescent="0.3">
      <c r="A50" s="380"/>
      <c r="B50" s="124" t="s">
        <v>26</v>
      </c>
      <c r="C50" s="126"/>
      <c r="D50" s="133">
        <f t="shared" si="14"/>
        <v>67.683605892771979</v>
      </c>
      <c r="E50" s="133"/>
      <c r="F50" s="133">
        <f t="shared" ref="F50:AR50" si="16">SUM(F41:F49)</f>
        <v>0</v>
      </c>
      <c r="G50" s="133">
        <f t="shared" si="16"/>
        <v>0</v>
      </c>
      <c r="H50" s="133">
        <f t="shared" si="16"/>
        <v>0</v>
      </c>
      <c r="I50" s="133">
        <f t="shared" si="16"/>
        <v>0</v>
      </c>
      <c r="J50" s="133">
        <f t="shared" si="16"/>
        <v>0</v>
      </c>
      <c r="K50" s="133">
        <f t="shared" si="16"/>
        <v>0</v>
      </c>
      <c r="L50" s="133">
        <f t="shared" si="16"/>
        <v>0</v>
      </c>
      <c r="M50" s="133">
        <f t="shared" si="16"/>
        <v>0</v>
      </c>
      <c r="N50" s="133">
        <f t="shared" si="16"/>
        <v>0</v>
      </c>
      <c r="O50" s="133">
        <f t="shared" si="16"/>
        <v>1.4718315654252088</v>
      </c>
      <c r="P50" s="133">
        <f t="shared" si="16"/>
        <v>1.9967428026254219</v>
      </c>
      <c r="Q50" s="133">
        <f t="shared" si="16"/>
        <v>2.1973088453838181</v>
      </c>
      <c r="R50" s="133">
        <f t="shared" si="16"/>
        <v>3.8369865826694944</v>
      </c>
      <c r="S50" s="133">
        <f t="shared" si="16"/>
        <v>2.4650335760790947</v>
      </c>
      <c r="T50" s="133">
        <f t="shared" si="16"/>
        <v>2.6009831415887468</v>
      </c>
      <c r="U50" s="133">
        <f t="shared" si="16"/>
        <v>2.7357179646970455</v>
      </c>
      <c r="V50" s="133">
        <f t="shared" si="16"/>
        <v>2.871034073113901</v>
      </c>
      <c r="W50" s="133">
        <f t="shared" si="16"/>
        <v>3.9393806582017161</v>
      </c>
      <c r="X50" s="133">
        <f t="shared" si="16"/>
        <v>3.1457080018168497</v>
      </c>
      <c r="Y50" s="133">
        <f t="shared" si="16"/>
        <v>3.2805076210750501</v>
      </c>
      <c r="Z50" s="133">
        <f t="shared" si="16"/>
        <v>3.4163294907465329</v>
      </c>
      <c r="AA50" s="133">
        <f t="shared" si="16"/>
        <v>3.553083006225159</v>
      </c>
      <c r="AB50" s="133">
        <f t="shared" si="16"/>
        <v>3.6880139605369213</v>
      </c>
      <c r="AC50" s="133">
        <f t="shared" si="16"/>
        <v>3.8222320981327362</v>
      </c>
      <c r="AD50" s="133">
        <f t="shared" si="16"/>
        <v>3.9581176755252017</v>
      </c>
      <c r="AE50" s="133">
        <f t="shared" si="16"/>
        <v>4.0894144330713411</v>
      </c>
      <c r="AF50" s="133">
        <f t="shared" si="16"/>
        <v>4.2282361235540167</v>
      </c>
      <c r="AG50" s="133">
        <f t="shared" si="16"/>
        <v>5.8674686081554315</v>
      </c>
      <c r="AH50" s="133">
        <f t="shared" si="16"/>
        <v>4.5194756641482874</v>
      </c>
      <c r="AI50" s="133">
        <f t="shared" si="16"/>
        <v>0</v>
      </c>
      <c r="AJ50" s="133">
        <f t="shared" si="16"/>
        <v>0</v>
      </c>
      <c r="AK50" s="133">
        <f t="shared" si="16"/>
        <v>0</v>
      </c>
      <c r="AL50" s="133">
        <f t="shared" si="16"/>
        <v>0</v>
      </c>
      <c r="AM50" s="133">
        <f t="shared" si="16"/>
        <v>0</v>
      </c>
      <c r="AN50" s="133">
        <f t="shared" si="16"/>
        <v>0</v>
      </c>
      <c r="AO50" s="133">
        <f t="shared" si="16"/>
        <v>0</v>
      </c>
      <c r="AP50" s="133">
        <f t="shared" si="16"/>
        <v>0</v>
      </c>
      <c r="AQ50" s="133">
        <f t="shared" si="16"/>
        <v>0</v>
      </c>
      <c r="AR50" s="134">
        <f t="shared" si="16"/>
        <v>0</v>
      </c>
    </row>
    <row r="51" spans="1:44" ht="15" thickBot="1" x14ac:dyDescent="0.25">
      <c r="A51" s="380"/>
      <c r="B51" s="380"/>
      <c r="C51" s="380"/>
      <c r="D51" s="417"/>
      <c r="E51" s="417"/>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7"/>
      <c r="AD51" s="417"/>
      <c r="AE51" s="417"/>
      <c r="AF51" s="417"/>
      <c r="AG51" s="417"/>
      <c r="AH51" s="417"/>
      <c r="AI51" s="417"/>
      <c r="AJ51" s="417"/>
      <c r="AK51" s="417"/>
      <c r="AL51" s="417"/>
      <c r="AM51" s="417"/>
      <c r="AN51" s="417"/>
      <c r="AO51" s="417"/>
      <c r="AP51" s="417"/>
      <c r="AQ51" s="417"/>
      <c r="AR51" s="417"/>
    </row>
    <row r="52" spans="1:44" ht="18" thickBot="1" x14ac:dyDescent="0.35">
      <c r="A52" s="380"/>
      <c r="B52" s="31" t="s">
        <v>38</v>
      </c>
      <c r="C52" s="32"/>
      <c r="D52" s="32" t="s">
        <v>34</v>
      </c>
      <c r="E52" s="32"/>
      <c r="F52" s="58">
        <f t="shared" ref="F52:AR52" si="17">F40</f>
        <v>2018</v>
      </c>
      <c r="G52" s="58">
        <f t="shared" si="17"/>
        <v>2019</v>
      </c>
      <c r="H52" s="58">
        <f t="shared" si="17"/>
        <v>2020</v>
      </c>
      <c r="I52" s="58">
        <f t="shared" si="17"/>
        <v>2021</v>
      </c>
      <c r="J52" s="58">
        <f t="shared" si="17"/>
        <v>2022</v>
      </c>
      <c r="K52" s="58">
        <f t="shared" si="17"/>
        <v>2023</v>
      </c>
      <c r="L52" s="58">
        <f t="shared" si="17"/>
        <v>2024</v>
      </c>
      <c r="M52" s="58">
        <f t="shared" si="17"/>
        <v>2025</v>
      </c>
      <c r="N52" s="58">
        <f t="shared" si="17"/>
        <v>2026</v>
      </c>
      <c r="O52" s="58">
        <f t="shared" si="17"/>
        <v>2027</v>
      </c>
      <c r="P52" s="58">
        <f t="shared" si="17"/>
        <v>2028</v>
      </c>
      <c r="Q52" s="58">
        <f t="shared" si="17"/>
        <v>2029</v>
      </c>
      <c r="R52" s="58">
        <f t="shared" si="17"/>
        <v>2030</v>
      </c>
      <c r="S52" s="58">
        <f t="shared" si="17"/>
        <v>2031</v>
      </c>
      <c r="T52" s="58">
        <f t="shared" si="17"/>
        <v>2032</v>
      </c>
      <c r="U52" s="58">
        <f t="shared" si="17"/>
        <v>2033</v>
      </c>
      <c r="V52" s="58">
        <f t="shared" si="17"/>
        <v>2034</v>
      </c>
      <c r="W52" s="58">
        <f t="shared" si="17"/>
        <v>2035</v>
      </c>
      <c r="X52" s="58">
        <f t="shared" si="17"/>
        <v>2036</v>
      </c>
      <c r="Y52" s="58">
        <f t="shared" si="17"/>
        <v>2037</v>
      </c>
      <c r="Z52" s="58">
        <f t="shared" si="17"/>
        <v>2038</v>
      </c>
      <c r="AA52" s="58">
        <f t="shared" si="17"/>
        <v>2039</v>
      </c>
      <c r="AB52" s="58">
        <f t="shared" si="17"/>
        <v>2040</v>
      </c>
      <c r="AC52" s="58">
        <f t="shared" si="17"/>
        <v>2041</v>
      </c>
      <c r="AD52" s="58">
        <f t="shared" si="17"/>
        <v>2042</v>
      </c>
      <c r="AE52" s="58">
        <f t="shared" si="17"/>
        <v>2043</v>
      </c>
      <c r="AF52" s="58">
        <f t="shared" si="17"/>
        <v>2044</v>
      </c>
      <c r="AG52" s="58">
        <f t="shared" si="17"/>
        <v>2045</v>
      </c>
      <c r="AH52" s="58">
        <f t="shared" si="17"/>
        <v>2046</v>
      </c>
      <c r="AI52" s="58">
        <f t="shared" si="17"/>
        <v>2047</v>
      </c>
      <c r="AJ52" s="58">
        <f t="shared" si="17"/>
        <v>2048</v>
      </c>
      <c r="AK52" s="58">
        <f t="shared" si="17"/>
        <v>2049</v>
      </c>
      <c r="AL52" s="58">
        <f t="shared" si="17"/>
        <v>2050</v>
      </c>
      <c r="AM52" s="58">
        <f t="shared" si="17"/>
        <v>2051</v>
      </c>
      <c r="AN52" s="58">
        <f t="shared" si="17"/>
        <v>2052</v>
      </c>
      <c r="AO52" s="58">
        <f t="shared" si="17"/>
        <v>2053</v>
      </c>
      <c r="AP52" s="58">
        <f t="shared" si="17"/>
        <v>2054</v>
      </c>
      <c r="AQ52" s="58">
        <f t="shared" si="17"/>
        <v>2055</v>
      </c>
      <c r="AR52" s="125">
        <f t="shared" si="17"/>
        <v>2056</v>
      </c>
    </row>
    <row r="53" spans="1:44" ht="15" thickBot="1" x14ac:dyDescent="0.25">
      <c r="A53" s="380"/>
      <c r="B53" s="394" t="s">
        <v>24</v>
      </c>
      <c r="C53" s="380"/>
      <c r="D53" s="416">
        <f>SUM(F53:AR53)</f>
        <v>-27.335510498564162</v>
      </c>
      <c r="E53" s="416"/>
      <c r="F53" s="416">
        <f>-'Project Costs'!F$66/1000000</f>
        <v>0</v>
      </c>
      <c r="G53" s="416">
        <f>-'Project Costs'!G$66/1000000</f>
        <v>0</v>
      </c>
      <c r="H53" s="416">
        <f>-'Project Costs'!H$66/1000000</f>
        <v>0</v>
      </c>
      <c r="I53" s="416">
        <f>-'Project Costs'!I$66/1000000</f>
        <v>0</v>
      </c>
      <c r="J53" s="416">
        <f>-'Project Costs'!J$66/1000000</f>
        <v>0</v>
      </c>
      <c r="K53" s="416">
        <f>-'Project Costs'!K$66/1000000</f>
        <v>0</v>
      </c>
      <c r="L53" s="416">
        <f>-'Project Costs'!L$66/1000000</f>
        <v>-2.5465819893188533</v>
      </c>
      <c r="M53" s="416">
        <f>-'Project Costs'!M$66/1000000</f>
        <v>-12.394464254622653</v>
      </c>
      <c r="N53" s="416">
        <f>-'Project Costs'!N$66/1000000</f>
        <v>-12.394464254622653</v>
      </c>
      <c r="O53" s="416">
        <f>-'Project Costs'!O$66/1000000</f>
        <v>0</v>
      </c>
      <c r="P53" s="416">
        <f>-'Project Costs'!P$66/1000000</f>
        <v>0</v>
      </c>
      <c r="Q53" s="416">
        <f>-'Project Costs'!Q$66/1000000</f>
        <v>0</v>
      </c>
      <c r="R53" s="416">
        <f>-'Project Costs'!R$66/1000000</f>
        <v>0</v>
      </c>
      <c r="S53" s="416">
        <f>-'Project Costs'!S$66/1000000</f>
        <v>0</v>
      </c>
      <c r="T53" s="416">
        <f>-'Project Costs'!T$66/1000000</f>
        <v>0</v>
      </c>
      <c r="U53" s="416">
        <f>-'Project Costs'!U$66/1000000</f>
        <v>0</v>
      </c>
      <c r="V53" s="416">
        <f>-'Project Costs'!V$66/1000000</f>
        <v>0</v>
      </c>
      <c r="W53" s="416">
        <f>-'Project Costs'!W$66/1000000</f>
        <v>0</v>
      </c>
      <c r="X53" s="416">
        <f>-'Project Costs'!X$66/1000000</f>
        <v>0</v>
      </c>
      <c r="Y53" s="416">
        <f>-'Project Costs'!Y$66/1000000</f>
        <v>0</v>
      </c>
      <c r="Z53" s="416">
        <f>-'Project Costs'!Z$66/1000000</f>
        <v>0</v>
      </c>
      <c r="AA53" s="416">
        <f>-'Project Costs'!AA$66/1000000</f>
        <v>0</v>
      </c>
      <c r="AB53" s="416">
        <f>-'Project Costs'!AB$66/1000000</f>
        <v>0</v>
      </c>
      <c r="AC53" s="416">
        <f>-'Project Costs'!AC$66/1000000</f>
        <v>0</v>
      </c>
      <c r="AD53" s="416">
        <f>-'Project Costs'!AD$66/1000000</f>
        <v>0</v>
      </c>
      <c r="AE53" s="416">
        <f>-'Project Costs'!AE$66/1000000</f>
        <v>0</v>
      </c>
      <c r="AF53" s="416">
        <f>-'Project Costs'!AF$66/1000000</f>
        <v>0</v>
      </c>
      <c r="AG53" s="416">
        <f>-'Project Costs'!AG$66/1000000</f>
        <v>0</v>
      </c>
      <c r="AH53" s="416">
        <f>-'Project Costs'!AH$66/1000000</f>
        <v>0</v>
      </c>
      <c r="AI53" s="416">
        <f>-'Project Costs'!AI$66/1000000</f>
        <v>0</v>
      </c>
      <c r="AJ53" s="416">
        <f>-'Project Costs'!AJ$66/1000000</f>
        <v>0</v>
      </c>
      <c r="AK53" s="416">
        <f>-'Project Costs'!AK$66/1000000</f>
        <v>0</v>
      </c>
      <c r="AL53" s="416">
        <f>-'Project Costs'!AL$66/1000000</f>
        <v>0</v>
      </c>
      <c r="AM53" s="416">
        <f>-'Project Costs'!AM$66/1000000</f>
        <v>0</v>
      </c>
      <c r="AN53" s="416">
        <f>-'Project Costs'!AN$66/1000000</f>
        <v>0</v>
      </c>
      <c r="AO53" s="416">
        <f>-'Project Costs'!AO$66/1000000</f>
        <v>0</v>
      </c>
      <c r="AP53" s="416">
        <f>-'Project Costs'!AP$66/1000000</f>
        <v>0</v>
      </c>
      <c r="AQ53" s="416">
        <f>-'Project Costs'!AQ$66/1000000</f>
        <v>0</v>
      </c>
      <c r="AR53" s="416">
        <f>-'Project Costs'!AR$66/1000000</f>
        <v>0</v>
      </c>
    </row>
    <row r="54" spans="1:44" ht="15.75" thickBot="1" x14ac:dyDescent="0.3">
      <c r="A54" s="380"/>
      <c r="B54" s="130" t="s">
        <v>27</v>
      </c>
      <c r="C54" s="129"/>
      <c r="D54" s="135">
        <f t="shared" ref="D54:D56" si="18">SUM(F54:AR54)</f>
        <v>-27.335510498564162</v>
      </c>
      <c r="E54" s="135"/>
      <c r="F54" s="135">
        <f t="shared" ref="F54:AR54" si="19">SUM(F53:F53)</f>
        <v>0</v>
      </c>
      <c r="G54" s="135">
        <f t="shared" si="19"/>
        <v>0</v>
      </c>
      <c r="H54" s="135">
        <f t="shared" si="19"/>
        <v>0</v>
      </c>
      <c r="I54" s="135">
        <f t="shared" si="19"/>
        <v>0</v>
      </c>
      <c r="J54" s="135">
        <f t="shared" si="19"/>
        <v>0</v>
      </c>
      <c r="K54" s="135">
        <f t="shared" si="19"/>
        <v>0</v>
      </c>
      <c r="L54" s="135">
        <f t="shared" si="19"/>
        <v>-2.5465819893188533</v>
      </c>
      <c r="M54" s="135">
        <f t="shared" si="19"/>
        <v>-12.394464254622653</v>
      </c>
      <c r="N54" s="135">
        <f t="shared" si="19"/>
        <v>-12.394464254622653</v>
      </c>
      <c r="O54" s="135">
        <f t="shared" si="19"/>
        <v>0</v>
      </c>
      <c r="P54" s="135">
        <f t="shared" si="19"/>
        <v>0</v>
      </c>
      <c r="Q54" s="135">
        <f t="shared" si="19"/>
        <v>0</v>
      </c>
      <c r="R54" s="135">
        <f t="shared" si="19"/>
        <v>0</v>
      </c>
      <c r="S54" s="135">
        <f t="shared" si="19"/>
        <v>0</v>
      </c>
      <c r="T54" s="135">
        <f t="shared" si="19"/>
        <v>0</v>
      </c>
      <c r="U54" s="135">
        <f t="shared" si="19"/>
        <v>0</v>
      </c>
      <c r="V54" s="135">
        <f t="shared" si="19"/>
        <v>0</v>
      </c>
      <c r="W54" s="135">
        <f t="shared" si="19"/>
        <v>0</v>
      </c>
      <c r="X54" s="135">
        <f t="shared" si="19"/>
        <v>0</v>
      </c>
      <c r="Y54" s="135">
        <f t="shared" si="19"/>
        <v>0</v>
      </c>
      <c r="Z54" s="135">
        <f t="shared" si="19"/>
        <v>0</v>
      </c>
      <c r="AA54" s="135">
        <f t="shared" si="19"/>
        <v>0</v>
      </c>
      <c r="AB54" s="135">
        <f t="shared" si="19"/>
        <v>0</v>
      </c>
      <c r="AC54" s="135">
        <f t="shared" si="19"/>
        <v>0</v>
      </c>
      <c r="AD54" s="135">
        <f t="shared" si="19"/>
        <v>0</v>
      </c>
      <c r="AE54" s="135">
        <f t="shared" si="19"/>
        <v>0</v>
      </c>
      <c r="AF54" s="135">
        <f t="shared" si="19"/>
        <v>0</v>
      </c>
      <c r="AG54" s="135">
        <f t="shared" si="19"/>
        <v>0</v>
      </c>
      <c r="AH54" s="135">
        <f t="shared" si="19"/>
        <v>0</v>
      </c>
      <c r="AI54" s="135">
        <f t="shared" si="19"/>
        <v>0</v>
      </c>
      <c r="AJ54" s="135">
        <f t="shared" si="19"/>
        <v>0</v>
      </c>
      <c r="AK54" s="135">
        <f t="shared" si="19"/>
        <v>0</v>
      </c>
      <c r="AL54" s="135">
        <f t="shared" si="19"/>
        <v>0</v>
      </c>
      <c r="AM54" s="135">
        <f t="shared" si="19"/>
        <v>0</v>
      </c>
      <c r="AN54" s="135">
        <f t="shared" si="19"/>
        <v>0</v>
      </c>
      <c r="AO54" s="135">
        <f t="shared" si="19"/>
        <v>0</v>
      </c>
      <c r="AP54" s="135">
        <f t="shared" si="19"/>
        <v>0</v>
      </c>
      <c r="AQ54" s="135">
        <f t="shared" si="19"/>
        <v>0</v>
      </c>
      <c r="AR54" s="136">
        <f t="shared" si="19"/>
        <v>0</v>
      </c>
    </row>
    <row r="55" spans="1:44" ht="15.75" thickBot="1" x14ac:dyDescent="0.3">
      <c r="A55" s="380"/>
      <c r="B55" s="2"/>
      <c r="C55" s="2"/>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7"/>
      <c r="AK55" s="137"/>
      <c r="AL55" s="137"/>
      <c r="AM55" s="137"/>
      <c r="AN55" s="137"/>
      <c r="AO55" s="137"/>
      <c r="AP55" s="137"/>
      <c r="AQ55" s="137"/>
      <c r="AR55" s="137"/>
    </row>
    <row r="56" spans="1:44" ht="15.75" thickBot="1" x14ac:dyDescent="0.3">
      <c r="A56" s="380"/>
      <c r="B56" s="128" t="s">
        <v>39</v>
      </c>
      <c r="C56" s="129"/>
      <c r="D56" s="135">
        <f t="shared" si="18"/>
        <v>40.34809539420781</v>
      </c>
      <c r="E56" s="135"/>
      <c r="F56" s="135">
        <f t="shared" ref="F56:AR56" si="20">F50+F54</f>
        <v>0</v>
      </c>
      <c r="G56" s="135">
        <f t="shared" si="20"/>
        <v>0</v>
      </c>
      <c r="H56" s="135">
        <f t="shared" si="20"/>
        <v>0</v>
      </c>
      <c r="I56" s="135">
        <f t="shared" si="20"/>
        <v>0</v>
      </c>
      <c r="J56" s="135">
        <f t="shared" si="20"/>
        <v>0</v>
      </c>
      <c r="K56" s="135">
        <f t="shared" si="20"/>
        <v>0</v>
      </c>
      <c r="L56" s="135">
        <f t="shared" si="20"/>
        <v>-2.5465819893188533</v>
      </c>
      <c r="M56" s="135">
        <f t="shared" si="20"/>
        <v>-12.394464254622653</v>
      </c>
      <c r="N56" s="135">
        <f t="shared" si="20"/>
        <v>-12.394464254622653</v>
      </c>
      <c r="O56" s="135">
        <f t="shared" si="20"/>
        <v>1.4718315654252088</v>
      </c>
      <c r="P56" s="135">
        <f t="shared" si="20"/>
        <v>1.9967428026254219</v>
      </c>
      <c r="Q56" s="135">
        <f t="shared" si="20"/>
        <v>2.1973088453838181</v>
      </c>
      <c r="R56" s="135">
        <f t="shared" si="20"/>
        <v>3.8369865826694944</v>
      </c>
      <c r="S56" s="135">
        <f t="shared" si="20"/>
        <v>2.4650335760790947</v>
      </c>
      <c r="T56" s="135">
        <f t="shared" si="20"/>
        <v>2.6009831415887468</v>
      </c>
      <c r="U56" s="135">
        <f t="shared" si="20"/>
        <v>2.7357179646970455</v>
      </c>
      <c r="V56" s="135">
        <f t="shared" si="20"/>
        <v>2.871034073113901</v>
      </c>
      <c r="W56" s="135">
        <f t="shared" si="20"/>
        <v>3.9393806582017161</v>
      </c>
      <c r="X56" s="135">
        <f t="shared" si="20"/>
        <v>3.1457080018168497</v>
      </c>
      <c r="Y56" s="135">
        <f t="shared" si="20"/>
        <v>3.2805076210750501</v>
      </c>
      <c r="Z56" s="135">
        <f t="shared" si="20"/>
        <v>3.4163294907465329</v>
      </c>
      <c r="AA56" s="135">
        <f t="shared" si="20"/>
        <v>3.553083006225159</v>
      </c>
      <c r="AB56" s="135">
        <f t="shared" si="20"/>
        <v>3.6880139605369213</v>
      </c>
      <c r="AC56" s="135">
        <f t="shared" si="20"/>
        <v>3.8222320981327362</v>
      </c>
      <c r="AD56" s="135">
        <f t="shared" si="20"/>
        <v>3.9581176755252017</v>
      </c>
      <c r="AE56" s="135">
        <f t="shared" si="20"/>
        <v>4.0894144330713411</v>
      </c>
      <c r="AF56" s="135">
        <f t="shared" si="20"/>
        <v>4.2282361235540167</v>
      </c>
      <c r="AG56" s="135">
        <f t="shared" si="20"/>
        <v>5.8674686081554315</v>
      </c>
      <c r="AH56" s="135">
        <f t="shared" si="20"/>
        <v>4.5194756641482874</v>
      </c>
      <c r="AI56" s="135">
        <f t="shared" si="20"/>
        <v>0</v>
      </c>
      <c r="AJ56" s="135">
        <f t="shared" si="20"/>
        <v>0</v>
      </c>
      <c r="AK56" s="135">
        <f t="shared" si="20"/>
        <v>0</v>
      </c>
      <c r="AL56" s="135">
        <f t="shared" si="20"/>
        <v>0</v>
      </c>
      <c r="AM56" s="135">
        <f t="shared" si="20"/>
        <v>0</v>
      </c>
      <c r="AN56" s="135">
        <f t="shared" si="20"/>
        <v>0</v>
      </c>
      <c r="AO56" s="135">
        <f t="shared" si="20"/>
        <v>0</v>
      </c>
      <c r="AP56" s="135">
        <f t="shared" si="20"/>
        <v>0</v>
      </c>
      <c r="AQ56" s="135">
        <f t="shared" si="20"/>
        <v>0</v>
      </c>
      <c r="AR56" s="135">
        <f t="shared" si="20"/>
        <v>0</v>
      </c>
    </row>
    <row r="58" spans="1:44" x14ac:dyDescent="0.2">
      <c r="A58" s="418"/>
      <c r="B58" s="418"/>
      <c r="C58" s="418"/>
      <c r="D58" s="418"/>
      <c r="E58" s="418"/>
      <c r="F58" s="418"/>
      <c r="G58" s="418"/>
      <c r="H58" s="418"/>
      <c r="I58" s="418"/>
      <c r="J58" s="418"/>
      <c r="K58" s="418"/>
      <c r="L58" s="418"/>
      <c r="M58" s="418"/>
      <c r="N58" s="418"/>
      <c r="O58" s="418"/>
      <c r="P58" s="418"/>
      <c r="Q58" s="418"/>
      <c r="R58" s="418"/>
      <c r="S58" s="418"/>
      <c r="T58" s="418"/>
      <c r="U58" s="418"/>
      <c r="V58" s="418"/>
      <c r="W58" s="418"/>
      <c r="X58" s="418"/>
      <c r="Y58" s="418"/>
      <c r="Z58" s="418"/>
      <c r="AA58" s="418"/>
      <c r="AB58" s="418"/>
      <c r="AC58" s="418"/>
      <c r="AD58" s="418"/>
      <c r="AE58" s="418"/>
      <c r="AF58" s="418"/>
      <c r="AG58" s="418"/>
      <c r="AH58" s="418"/>
      <c r="AI58" s="418"/>
      <c r="AJ58" s="418"/>
      <c r="AK58" s="418"/>
      <c r="AL58" s="418"/>
      <c r="AM58" s="418"/>
      <c r="AN58" s="418"/>
      <c r="AO58" s="418"/>
      <c r="AP58" s="418"/>
      <c r="AQ58" s="418"/>
      <c r="AR58" s="418"/>
    </row>
    <row r="59" spans="1:44" ht="15.75" thickBot="1" x14ac:dyDescent="0.3">
      <c r="A59" s="2" t="s">
        <v>40</v>
      </c>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row>
    <row r="60" spans="1:44" ht="18" thickBot="1" x14ac:dyDescent="0.35">
      <c r="A60" s="380"/>
      <c r="B60" s="31" t="s">
        <v>33</v>
      </c>
      <c r="C60" s="32"/>
      <c r="D60" s="32" t="s">
        <v>34</v>
      </c>
      <c r="E60" s="32"/>
      <c r="F60" s="58">
        <f t="shared" ref="F60:AR60" si="21">F40</f>
        <v>2018</v>
      </c>
      <c r="G60" s="58">
        <f t="shared" si="21"/>
        <v>2019</v>
      </c>
      <c r="H60" s="58">
        <f t="shared" si="21"/>
        <v>2020</v>
      </c>
      <c r="I60" s="58">
        <f t="shared" si="21"/>
        <v>2021</v>
      </c>
      <c r="J60" s="58">
        <f t="shared" si="21"/>
        <v>2022</v>
      </c>
      <c r="K60" s="58">
        <f t="shared" si="21"/>
        <v>2023</v>
      </c>
      <c r="L60" s="58">
        <f t="shared" si="21"/>
        <v>2024</v>
      </c>
      <c r="M60" s="58">
        <f t="shared" si="21"/>
        <v>2025</v>
      </c>
      <c r="N60" s="58">
        <f t="shared" si="21"/>
        <v>2026</v>
      </c>
      <c r="O60" s="58">
        <f t="shared" si="21"/>
        <v>2027</v>
      </c>
      <c r="P60" s="58">
        <f t="shared" si="21"/>
        <v>2028</v>
      </c>
      <c r="Q60" s="58">
        <f t="shared" si="21"/>
        <v>2029</v>
      </c>
      <c r="R60" s="58">
        <f t="shared" si="21"/>
        <v>2030</v>
      </c>
      <c r="S60" s="58">
        <f t="shared" si="21"/>
        <v>2031</v>
      </c>
      <c r="T60" s="58">
        <f t="shared" si="21"/>
        <v>2032</v>
      </c>
      <c r="U60" s="58">
        <f t="shared" si="21"/>
        <v>2033</v>
      </c>
      <c r="V60" s="58">
        <f t="shared" si="21"/>
        <v>2034</v>
      </c>
      <c r="W60" s="58">
        <f t="shared" si="21"/>
        <v>2035</v>
      </c>
      <c r="X60" s="58">
        <f t="shared" si="21"/>
        <v>2036</v>
      </c>
      <c r="Y60" s="58">
        <f t="shared" si="21"/>
        <v>2037</v>
      </c>
      <c r="Z60" s="58">
        <f t="shared" si="21"/>
        <v>2038</v>
      </c>
      <c r="AA60" s="58">
        <f t="shared" si="21"/>
        <v>2039</v>
      </c>
      <c r="AB60" s="58">
        <f t="shared" si="21"/>
        <v>2040</v>
      </c>
      <c r="AC60" s="58">
        <f t="shared" si="21"/>
        <v>2041</v>
      </c>
      <c r="AD60" s="58">
        <f t="shared" si="21"/>
        <v>2042</v>
      </c>
      <c r="AE60" s="58">
        <f t="shared" si="21"/>
        <v>2043</v>
      </c>
      <c r="AF60" s="58">
        <f t="shared" si="21"/>
        <v>2044</v>
      </c>
      <c r="AG60" s="58">
        <f t="shared" si="21"/>
        <v>2045</v>
      </c>
      <c r="AH60" s="58">
        <f t="shared" si="21"/>
        <v>2046</v>
      </c>
      <c r="AI60" s="58">
        <f t="shared" si="21"/>
        <v>2047</v>
      </c>
      <c r="AJ60" s="58">
        <f t="shared" si="21"/>
        <v>2048</v>
      </c>
      <c r="AK60" s="58">
        <f t="shared" si="21"/>
        <v>2049</v>
      </c>
      <c r="AL60" s="58">
        <f t="shared" si="21"/>
        <v>2050</v>
      </c>
      <c r="AM60" s="58">
        <f t="shared" si="21"/>
        <v>2051</v>
      </c>
      <c r="AN60" s="58">
        <f t="shared" si="21"/>
        <v>2052</v>
      </c>
      <c r="AO60" s="58">
        <f t="shared" si="21"/>
        <v>2053</v>
      </c>
      <c r="AP60" s="58">
        <f t="shared" si="21"/>
        <v>2054</v>
      </c>
      <c r="AQ60" s="58">
        <f t="shared" si="21"/>
        <v>2055</v>
      </c>
      <c r="AR60" s="58">
        <f t="shared" si="21"/>
        <v>2056</v>
      </c>
    </row>
    <row r="61" spans="1:44" x14ac:dyDescent="0.2">
      <c r="A61" s="380"/>
      <c r="B61" s="394" t="s">
        <v>12</v>
      </c>
      <c r="C61" s="380"/>
      <c r="D61" s="416">
        <f>SUM(F61:AR61)</f>
        <v>3.8998548260711581</v>
      </c>
      <c r="E61" s="416"/>
      <c r="F61" s="416">
        <f>Safety!F$80/1000000</f>
        <v>0</v>
      </c>
      <c r="G61" s="416">
        <f>Safety!G$80/1000000</f>
        <v>0</v>
      </c>
      <c r="H61" s="416">
        <f>Safety!H$80/1000000</f>
        <v>0</v>
      </c>
      <c r="I61" s="416">
        <f>Safety!I$80/1000000</f>
        <v>0</v>
      </c>
      <c r="J61" s="416">
        <f>Safety!J$80/1000000</f>
        <v>0</v>
      </c>
      <c r="K61" s="416">
        <f>Safety!K$80/1000000</f>
        <v>0</v>
      </c>
      <c r="L61" s="416">
        <f>Safety!L$80/1000000</f>
        <v>0</v>
      </c>
      <c r="M61" s="416">
        <f>Safety!M$80/1000000</f>
        <v>0</v>
      </c>
      <c r="N61" s="416">
        <f>Safety!N$80/1000000</f>
        <v>0</v>
      </c>
      <c r="O61" s="416">
        <f>Safety!O$80/1000000</f>
        <v>0.21550138777571176</v>
      </c>
      <c r="P61" s="416">
        <f>Safety!P$80/1000000</f>
        <v>0.21330736912188661</v>
      </c>
      <c r="Q61" s="416">
        <f>Safety!Q$80/1000000</f>
        <v>0.21111653713277287</v>
      </c>
      <c r="R61" s="416">
        <f>Safety!R$80/1000000</f>
        <v>0.20892961037002133</v>
      </c>
      <c r="S61" s="416">
        <f>Safety!S$80/1000000</f>
        <v>0.20674727799122508</v>
      </c>
      <c r="T61" s="416">
        <f>Safety!T$80/1000000</f>
        <v>0.2045702006267569</v>
      </c>
      <c r="U61" s="416">
        <f>Safety!U$80/1000000</f>
        <v>0.20239901123352452</v>
      </c>
      <c r="V61" s="416">
        <f>Safety!V$80/1000000</f>
        <v>0.20023431592621416</v>
      </c>
      <c r="W61" s="416">
        <f>Safety!W$80/1000000</f>
        <v>0.19807669478657464</v>
      </c>
      <c r="X61" s="416">
        <f>Safety!X$80/1000000</f>
        <v>0.19592670265128623</v>
      </c>
      <c r="Y61" s="416">
        <f>Safety!Y$80/1000000</f>
        <v>0.19378486987894</v>
      </c>
      <c r="Z61" s="416">
        <f>Safety!Z$80/1000000</f>
        <v>0.19165170309664703</v>
      </c>
      <c r="AA61" s="416">
        <f>Safety!AA$80/1000000</f>
        <v>0.18952768592677782</v>
      </c>
      <c r="AB61" s="416">
        <f>Safety!AB$80/1000000</f>
        <v>0.18741327969432903</v>
      </c>
      <c r="AC61" s="416">
        <f>Safety!AC$80/1000000</f>
        <v>0.18530892411539152</v>
      </c>
      <c r="AD61" s="416">
        <f>Safety!AD$80/1000000</f>
        <v>0.18321503796719507</v>
      </c>
      <c r="AE61" s="416">
        <f>Safety!AE$80/1000000</f>
        <v>0.18113201974018292</v>
      </c>
      <c r="AF61" s="416">
        <f>Safety!AF$80/1000000</f>
        <v>0.17906024827256645</v>
      </c>
      <c r="AG61" s="416">
        <f>Safety!AG$80/1000000</f>
        <v>0.17700008336779385</v>
      </c>
      <c r="AH61" s="416">
        <f>Safety!AH$80/1000000</f>
        <v>0.17495186639536028</v>
      </c>
      <c r="AI61" s="416">
        <f>Safety!AI$80/1000000</f>
        <v>0</v>
      </c>
      <c r="AJ61" s="416">
        <f>Safety!AJ$80/1000000</f>
        <v>0</v>
      </c>
      <c r="AK61" s="416">
        <f>Safety!AK$80/1000000</f>
        <v>0</v>
      </c>
      <c r="AL61" s="416">
        <f>Safety!AL$80/1000000</f>
        <v>0</v>
      </c>
      <c r="AM61" s="416">
        <f>Safety!AM$80/1000000</f>
        <v>0</v>
      </c>
      <c r="AN61" s="416">
        <f>Safety!AN$80/1000000</f>
        <v>0</v>
      </c>
      <c r="AO61" s="416">
        <f>Safety!AO$80/1000000</f>
        <v>0</v>
      </c>
      <c r="AP61" s="416">
        <f>Safety!AP$80/1000000</f>
        <v>0</v>
      </c>
      <c r="AQ61" s="416">
        <f>Safety!AQ$80/1000000</f>
        <v>0</v>
      </c>
      <c r="AR61" s="416">
        <f>Safety!AR$80/1000000</f>
        <v>0</v>
      </c>
    </row>
    <row r="62" spans="1:44" x14ac:dyDescent="0.2">
      <c r="A62" s="380"/>
      <c r="B62" s="388" t="s">
        <v>13</v>
      </c>
      <c r="C62" s="380"/>
      <c r="D62" s="416">
        <f>SUM(F62:AR62)</f>
        <v>28.510830055865796</v>
      </c>
      <c r="E62" s="416"/>
      <c r="F62" s="416">
        <f>'Time Savings'!F$106/1000000</f>
        <v>0</v>
      </c>
      <c r="G62" s="416">
        <f>'Time Savings'!G$106/1000000</f>
        <v>0</v>
      </c>
      <c r="H62" s="416">
        <f>'Time Savings'!H$106/1000000</f>
        <v>0</v>
      </c>
      <c r="I62" s="416">
        <f>'Time Savings'!I$106/1000000</f>
        <v>0</v>
      </c>
      <c r="J62" s="416">
        <f>'Time Savings'!J$106/1000000</f>
        <v>0</v>
      </c>
      <c r="K62" s="416">
        <f>'Time Savings'!K$106/1000000</f>
        <v>0</v>
      </c>
      <c r="L62" s="416">
        <f>'Time Savings'!L$106/1000000</f>
        <v>0</v>
      </c>
      <c r="M62" s="416">
        <f>'Time Savings'!M$106/1000000</f>
        <v>0</v>
      </c>
      <c r="N62" s="416">
        <f>'Time Savings'!N$106/1000000</f>
        <v>0</v>
      </c>
      <c r="O62" s="416">
        <f>'Time Savings'!O$106/1000000</f>
        <v>0.83559288128464837</v>
      </c>
      <c r="P62" s="416">
        <f>'Time Savings'!P$106/1000000</f>
        <v>0.91608596051618851</v>
      </c>
      <c r="Q62" s="416">
        <f>'Time Savings'!Q$106/1000000</f>
        <v>0.99310119008878817</v>
      </c>
      <c r="R62" s="416">
        <f>'Time Savings'!R$106/1000000</f>
        <v>1.0667440092896392</v>
      </c>
      <c r="S62" s="416">
        <f>'Time Savings'!S$106/1000000</f>
        <v>1.1371170596521294</v>
      </c>
      <c r="T62" s="416">
        <f>'Time Savings'!T$106/1000000</f>
        <v>1.2043202541337037</v>
      </c>
      <c r="U62" s="416">
        <f>'Time Savings'!U$106/1000000</f>
        <v>1.268450844656503</v>
      </c>
      <c r="V62" s="416">
        <f>'Time Savings'!V$106/1000000</f>
        <v>1.3296034880484069</v>
      </c>
      <c r="W62" s="416">
        <f>'Time Savings'!W$106/1000000</f>
        <v>1.3878703104212293</v>
      </c>
      <c r="X62" s="416">
        <f>'Time Savings'!X$106/1000000</f>
        <v>1.4433409700220123</v>
      </c>
      <c r="Y62" s="416">
        <f>'Time Savings'!Y$106/1000000</f>
        <v>1.4961027185925364</v>
      </c>
      <c r="Z62" s="416">
        <f>'Time Savings'!Z$106/1000000</f>
        <v>1.5462404612713976</v>
      </c>
      <c r="AA62" s="416">
        <f>'Time Savings'!AA$106/1000000</f>
        <v>1.5938368150721987</v>
      </c>
      <c r="AB62" s="416">
        <f>'Time Savings'!AB$106/1000000</f>
        <v>1.6389721659706722</v>
      </c>
      <c r="AC62" s="416">
        <f>'Time Savings'!AC$106/1000000</f>
        <v>1.6817247246328069</v>
      </c>
      <c r="AD62" s="416">
        <f>'Time Savings'!AD$106/1000000</f>
        <v>1.722170580815316</v>
      </c>
      <c r="AE62" s="416">
        <f>'Time Savings'!AE$106/1000000</f>
        <v>1.7603837564690843</v>
      </c>
      <c r="AF62" s="416">
        <f>'Time Savings'!AF$106/1000000</f>
        <v>1.7964362575755657</v>
      </c>
      <c r="AG62" s="416">
        <f>'Time Savings'!AG$106/1000000</f>
        <v>1.8303981247453551</v>
      </c>
      <c r="AH62" s="416">
        <f>'Time Savings'!AH$106/1000000</f>
        <v>1.8623374826076138</v>
      </c>
      <c r="AI62" s="416">
        <f>'Time Savings'!AI$106/1000000</f>
        <v>0</v>
      </c>
      <c r="AJ62" s="416">
        <f>'Time Savings'!AJ$106/1000000</f>
        <v>0</v>
      </c>
      <c r="AK62" s="416">
        <f>'Time Savings'!AK$106/1000000</f>
        <v>0</v>
      </c>
      <c r="AL62" s="416">
        <f>'Time Savings'!AL$106/1000000</f>
        <v>0</v>
      </c>
      <c r="AM62" s="416">
        <f>'Time Savings'!AM$106/1000000</f>
        <v>0</v>
      </c>
      <c r="AN62" s="416">
        <f>'Time Savings'!AN$106/1000000</f>
        <v>0</v>
      </c>
      <c r="AO62" s="416">
        <f>'Time Savings'!AO$106/1000000</f>
        <v>0</v>
      </c>
      <c r="AP62" s="416">
        <f>'Time Savings'!AP$106/1000000</f>
        <v>0</v>
      </c>
      <c r="AQ62" s="416">
        <f>'Time Savings'!AQ$106/1000000</f>
        <v>0</v>
      </c>
      <c r="AR62" s="416">
        <f>'Time Savings'!AR$106/1000000</f>
        <v>0</v>
      </c>
    </row>
    <row r="63" spans="1:44" x14ac:dyDescent="0.2">
      <c r="A63" s="380"/>
      <c r="B63" s="388" t="s">
        <v>14</v>
      </c>
      <c r="C63" s="380"/>
      <c r="D63" s="416">
        <f t="shared" ref="D63:D70" si="22">SUM(F63:AR63)</f>
        <v>9.176941572627765</v>
      </c>
      <c r="E63" s="416"/>
      <c r="F63" s="416">
        <f>'Veh Op Costs'!F$77/1000000</f>
        <v>0</v>
      </c>
      <c r="G63" s="416">
        <f>'Veh Op Costs'!G$77/1000000</f>
        <v>0</v>
      </c>
      <c r="H63" s="416">
        <f>'Veh Op Costs'!H$77/1000000</f>
        <v>0</v>
      </c>
      <c r="I63" s="416">
        <f>'Veh Op Costs'!I$77/1000000</f>
        <v>0</v>
      </c>
      <c r="J63" s="416">
        <f>'Veh Op Costs'!J$77/1000000</f>
        <v>0</v>
      </c>
      <c r="K63" s="416">
        <f>'Veh Op Costs'!K$77/1000000</f>
        <v>0</v>
      </c>
      <c r="L63" s="416">
        <f>'Veh Op Costs'!L$77/1000000</f>
        <v>0</v>
      </c>
      <c r="M63" s="416">
        <f>'Veh Op Costs'!M$77/1000000</f>
        <v>0</v>
      </c>
      <c r="N63" s="416">
        <f>'Veh Op Costs'!N$77/1000000</f>
        <v>0</v>
      </c>
      <c r="O63" s="416">
        <f>'Veh Op Costs'!O$77/1000000</f>
        <v>0.37221145501736091</v>
      </c>
      <c r="P63" s="416">
        <f>'Veh Op Costs'!P$77/1000000</f>
        <v>0.38286545928077809</v>
      </c>
      <c r="Q63" s="416">
        <f>'Veh Op Costs'!Q$77/1000000</f>
        <v>0.39387513960389819</v>
      </c>
      <c r="R63" s="416">
        <f>'Veh Op Costs'!R$77/1000000</f>
        <v>0.4049957630203242</v>
      </c>
      <c r="S63" s="416">
        <f>'Veh Op Costs'!S$77/1000000</f>
        <v>0.41375742172819674</v>
      </c>
      <c r="T63" s="416">
        <f>'Veh Op Costs'!T$77/1000000</f>
        <v>0.42468266151433615</v>
      </c>
      <c r="U63" s="416">
        <f>'Veh Op Costs'!U$77/1000000</f>
        <v>0.43401742078362959</v>
      </c>
      <c r="V63" s="416">
        <f>'Veh Op Costs'!V$77/1000000</f>
        <v>0.44328623800418737</v>
      </c>
      <c r="W63" s="416">
        <f>'Veh Op Costs'!W$77/1000000</f>
        <v>0.45169431654494913</v>
      </c>
      <c r="X63" s="416">
        <f>'Veh Op Costs'!X$77/1000000</f>
        <v>0.46336546942856749</v>
      </c>
      <c r="Y63" s="416">
        <f>'Veh Op Costs'!Y$77/1000000</f>
        <v>0.47063041829746577</v>
      </c>
      <c r="Z63" s="416">
        <f>'Veh Op Costs'!Z$77/1000000</f>
        <v>0.47819112397515395</v>
      </c>
      <c r="AA63" s="416">
        <f>'Veh Op Costs'!AA$77/1000000</f>
        <v>0.48594635800582353</v>
      </c>
      <c r="AB63" s="416">
        <f>'Veh Op Costs'!AB$77/1000000</f>
        <v>0.49190828609241577</v>
      </c>
      <c r="AC63" s="416">
        <f>'Veh Op Costs'!AC$77/1000000</f>
        <v>0.49694683133174145</v>
      </c>
      <c r="AD63" s="416">
        <f>'Veh Op Costs'!AD$77/1000000</f>
        <v>0.50273963831502733</v>
      </c>
      <c r="AE63" s="416">
        <f>'Veh Op Costs'!AE$77/1000000</f>
        <v>0.50502252225964972</v>
      </c>
      <c r="AF63" s="416">
        <f>'Veh Op Costs'!AF$77/1000000</f>
        <v>0.51198386955004394</v>
      </c>
      <c r="AG63" s="416">
        <f>'Veh Op Costs'!AG$77/1000000</f>
        <v>0.51568848768130604</v>
      </c>
      <c r="AH63" s="416">
        <f>'Veh Op Costs'!AH$77/1000000</f>
        <v>0.53313269219290815</v>
      </c>
      <c r="AI63" s="416">
        <f>'Veh Op Costs'!AI$77/1000000</f>
        <v>0</v>
      </c>
      <c r="AJ63" s="416">
        <f>'Veh Op Costs'!AJ$77/1000000</f>
        <v>0</v>
      </c>
      <c r="AK63" s="416">
        <f>'Veh Op Costs'!AK$77/1000000</f>
        <v>0</v>
      </c>
      <c r="AL63" s="416">
        <f>'Veh Op Costs'!AL$77/1000000</f>
        <v>0</v>
      </c>
      <c r="AM63" s="416">
        <f>'Veh Op Costs'!AM$77/1000000</f>
        <v>0</v>
      </c>
      <c r="AN63" s="416">
        <f>'Veh Op Costs'!AN$77/1000000</f>
        <v>0</v>
      </c>
      <c r="AO63" s="416">
        <f>'Veh Op Costs'!AO$77/1000000</f>
        <v>0</v>
      </c>
      <c r="AP63" s="416">
        <f>'Veh Op Costs'!AP$77/1000000</f>
        <v>0</v>
      </c>
      <c r="AQ63" s="416">
        <f>'Veh Op Costs'!AQ$77/1000000</f>
        <v>0</v>
      </c>
      <c r="AR63" s="416">
        <f>'Veh Op Costs'!AR$77/1000000</f>
        <v>0</v>
      </c>
    </row>
    <row r="64" spans="1:44" x14ac:dyDescent="0.2">
      <c r="A64" s="380"/>
      <c r="B64" s="388" t="s">
        <v>35</v>
      </c>
      <c r="C64" s="380"/>
      <c r="D64" s="416">
        <f t="shared" si="22"/>
        <v>0.23499383672462071</v>
      </c>
      <c r="E64" s="416"/>
      <c r="F64" s="416">
        <f>Emissions!F$99/1000000</f>
        <v>0</v>
      </c>
      <c r="G64" s="416">
        <f>Emissions!G$99/1000000</f>
        <v>0</v>
      </c>
      <c r="H64" s="416">
        <f>Emissions!H$99/1000000</f>
        <v>0</v>
      </c>
      <c r="I64" s="416">
        <f>Emissions!I$99/1000000</f>
        <v>0</v>
      </c>
      <c r="J64" s="416">
        <f>Emissions!J$99/1000000</f>
        <v>0</v>
      </c>
      <c r="K64" s="416">
        <f>Emissions!K$99/1000000</f>
        <v>0</v>
      </c>
      <c r="L64" s="416">
        <f>Emissions!L$99/1000000</f>
        <v>0</v>
      </c>
      <c r="M64" s="416">
        <f>Emissions!M$99/1000000</f>
        <v>0</v>
      </c>
      <c r="N64" s="416">
        <f>Emissions!N$99/1000000</f>
        <v>0</v>
      </c>
      <c r="O64" s="416">
        <f>Emissions!O$99/1000000</f>
        <v>7.0784976219069049E-3</v>
      </c>
      <c r="P64" s="416">
        <f>Emissions!P$99/1000000</f>
        <v>7.7504491175977826E-3</v>
      </c>
      <c r="Q64" s="416">
        <f>Emissions!Q$99/1000000</f>
        <v>8.4478523753098809E-3</v>
      </c>
      <c r="R64" s="416">
        <f>Emissions!R$99/1000000</f>
        <v>9.1033661402867682E-3</v>
      </c>
      <c r="S64" s="416">
        <f>Emissions!S$99/1000000</f>
        <v>9.6253874839252046E-3</v>
      </c>
      <c r="T64" s="416">
        <f>Emissions!T$99/1000000</f>
        <v>1.0122278862491804E-2</v>
      </c>
      <c r="U64" s="416">
        <f>Emissions!U$99/1000000</f>
        <v>1.0599576187011071E-2</v>
      </c>
      <c r="V64" s="416">
        <f>Emissions!V$99/1000000</f>
        <v>1.105554880872597E-2</v>
      </c>
      <c r="W64" s="416">
        <f>Emissions!W$99/1000000</f>
        <v>1.1488000939546732E-2</v>
      </c>
      <c r="X64" s="416">
        <f>Emissions!X$99/1000000</f>
        <v>1.1903091978880865E-2</v>
      </c>
      <c r="Y64" s="416">
        <f>Emissions!Y$99/1000000</f>
        <v>1.2298698613303263E-2</v>
      </c>
      <c r="Z64" s="416">
        <f>Emissions!Z$99/1000000</f>
        <v>1.2672296085890253E-2</v>
      </c>
      <c r="AA64" s="416">
        <f>Emissions!AA$99/1000000</f>
        <v>1.3030576868549243E-2</v>
      </c>
      <c r="AB64" s="416">
        <f>Emissions!AB$99/1000000</f>
        <v>1.3371075961240503E-2</v>
      </c>
      <c r="AC64" s="416">
        <f>Emissions!AC$99/1000000</f>
        <v>1.3694330572661973E-2</v>
      </c>
      <c r="AD64" s="416">
        <f>Emissions!AD$99/1000000</f>
        <v>1.4000864119518331E-2</v>
      </c>
      <c r="AE64" s="416">
        <f>Emissions!AE$99/1000000</f>
        <v>1.4291186552245648E-2</v>
      </c>
      <c r="AF64" s="416">
        <f>Emissions!AF$99/1000000</f>
        <v>1.4565794673433483E-2</v>
      </c>
      <c r="AG64" s="416">
        <f>Emissions!AG$99/1000000</f>
        <v>1.4825172449102562E-2</v>
      </c>
      <c r="AH64" s="416">
        <f>Emissions!AH$99/1000000</f>
        <v>1.5069791312992447E-2</v>
      </c>
      <c r="AI64" s="416">
        <f>Emissions!AI$99/1000000</f>
        <v>0</v>
      </c>
      <c r="AJ64" s="416">
        <f>Emissions!AJ$99/1000000</f>
        <v>0</v>
      </c>
      <c r="AK64" s="416">
        <f>Emissions!AK$99/1000000</f>
        <v>0</v>
      </c>
      <c r="AL64" s="416">
        <f>Emissions!AL$99/1000000</f>
        <v>0</v>
      </c>
      <c r="AM64" s="416">
        <f>Emissions!AM$99/1000000</f>
        <v>0</v>
      </c>
      <c r="AN64" s="416">
        <f>Emissions!AN$99/1000000</f>
        <v>0</v>
      </c>
      <c r="AO64" s="416">
        <f>Emissions!AO$99/1000000</f>
        <v>0</v>
      </c>
      <c r="AP64" s="416">
        <f>Emissions!AP$99/1000000</f>
        <v>0</v>
      </c>
      <c r="AQ64" s="416">
        <f>Emissions!AQ$99/1000000</f>
        <v>0</v>
      </c>
      <c r="AR64" s="416">
        <f>Emissions!AR$99/1000000</f>
        <v>0</v>
      </c>
    </row>
    <row r="65" spans="1:44" x14ac:dyDescent="0.2">
      <c r="A65" s="380"/>
      <c r="B65" s="388" t="s">
        <v>36</v>
      </c>
      <c r="C65" s="380"/>
      <c r="D65" s="416">
        <f t="shared" si="22"/>
        <v>4.03789599510357</v>
      </c>
      <c r="E65" s="416"/>
      <c r="F65" s="416">
        <f>Pedestrian!F$59/1000000</f>
        <v>0</v>
      </c>
      <c r="G65" s="416">
        <f>Pedestrian!G$59/1000000</f>
        <v>0</v>
      </c>
      <c r="H65" s="416">
        <f>Pedestrian!H$59/1000000</f>
        <v>0</v>
      </c>
      <c r="I65" s="416">
        <f>Pedestrian!I$59/1000000</f>
        <v>0</v>
      </c>
      <c r="J65" s="416">
        <f>Pedestrian!J$59/1000000</f>
        <v>0</v>
      </c>
      <c r="K65" s="416">
        <f>Pedestrian!K$59/1000000</f>
        <v>0</v>
      </c>
      <c r="L65" s="416">
        <f>Pedestrian!L$59/1000000</f>
        <v>0</v>
      </c>
      <c r="M65" s="416">
        <f>Pedestrian!M$59/1000000</f>
        <v>0</v>
      </c>
      <c r="N65" s="416">
        <f>Pedestrian!N$59/1000000</f>
        <v>0</v>
      </c>
      <c r="O65" s="416">
        <f>Pedestrian!O$59/1000000</f>
        <v>0.1699477506597741</v>
      </c>
      <c r="P65" s="416">
        <f>Pedestrian!P$59/1000000</f>
        <v>0.19838261148617983</v>
      </c>
      <c r="Q65" s="416">
        <f>Pedestrian!Q$59/1000000</f>
        <v>0.22621171995501563</v>
      </c>
      <c r="R65" s="416">
        <f>Pedestrian!R$59/1000000</f>
        <v>0.22345300065419094</v>
      </c>
      <c r="S65" s="416">
        <f>Pedestrian!S$59/1000000</f>
        <v>0.22071843806945565</v>
      </c>
      <c r="T65" s="416">
        <f>Pedestrian!T$59/1000000</f>
        <v>0.21800810339336602</v>
      </c>
      <c r="U65" s="416">
        <f>Pedestrian!U$59/1000000</f>
        <v>0.21532205634211107</v>
      </c>
      <c r="V65" s="416">
        <f>Pedestrian!V$59/1000000</f>
        <v>0.21266034556956431</v>
      </c>
      <c r="W65" s="416">
        <f>Pedestrian!W$59/1000000</f>
        <v>0.21002300906963317</v>
      </c>
      <c r="X65" s="416">
        <f>Pedestrian!X$59/1000000</f>
        <v>0.20741007456720531</v>
      </c>
      <c r="Y65" s="416">
        <f>Pedestrian!Y$59/1000000</f>
        <v>0.20482155989798195</v>
      </c>
      <c r="Z65" s="416">
        <f>Pedestrian!Z$59/1000000</f>
        <v>0.20225747337748265</v>
      </c>
      <c r="AA65" s="416">
        <f>Pedestrian!AA$59/1000000</f>
        <v>0.1997178141594968</v>
      </c>
      <c r="AB65" s="416">
        <f>Pedestrian!AB$59/1000000</f>
        <v>0.19720257258425533</v>
      </c>
      <c r="AC65" s="416">
        <f>Pedestrian!AC$59/1000000</f>
        <v>0.19471173051658211</v>
      </c>
      <c r="AD65" s="416">
        <f>Pedestrian!AD$59/1000000</f>
        <v>0.19224526167428663</v>
      </c>
      <c r="AE65" s="416">
        <f>Pedestrian!AE$59/1000000</f>
        <v>0.18980313194704562</v>
      </c>
      <c r="AF65" s="416">
        <f>Pedestrian!AF$59/1000000</f>
        <v>0.18738529970602164</v>
      </c>
      <c r="AG65" s="416">
        <f>Pedestrian!AG$59/1000000</f>
        <v>0.18499171610445522</v>
      </c>
      <c r="AH65" s="416">
        <f>Pedestrian!AH$59/1000000</f>
        <v>0.18262232536946618</v>
      </c>
      <c r="AI65" s="416">
        <f>Pedestrian!AI$59/1000000</f>
        <v>0</v>
      </c>
      <c r="AJ65" s="416">
        <f>Pedestrian!AJ$59/1000000</f>
        <v>0</v>
      </c>
      <c r="AK65" s="416">
        <f>Pedestrian!AK$59/1000000</f>
        <v>0</v>
      </c>
      <c r="AL65" s="416">
        <f>Pedestrian!AL$59/1000000</f>
        <v>0</v>
      </c>
      <c r="AM65" s="416">
        <f>Pedestrian!AM$59/1000000</f>
        <v>0</v>
      </c>
      <c r="AN65" s="416">
        <f>Pedestrian!AN$59/1000000</f>
        <v>0</v>
      </c>
      <c r="AO65" s="416">
        <f>Pedestrian!AO$59/1000000</f>
        <v>0</v>
      </c>
      <c r="AP65" s="416">
        <f>Pedestrian!AP$59/1000000</f>
        <v>0</v>
      </c>
      <c r="AQ65" s="416">
        <f>Pedestrian!AQ$59/1000000</f>
        <v>0</v>
      </c>
      <c r="AR65" s="416">
        <f>Pedestrian!AR$59/1000000</f>
        <v>0</v>
      </c>
    </row>
    <row r="66" spans="1:44" x14ac:dyDescent="0.2">
      <c r="A66" s="380"/>
      <c r="B66" s="388" t="s">
        <v>17</v>
      </c>
      <c r="C66" s="380"/>
      <c r="D66" s="416">
        <f t="shared" si="22"/>
        <v>2.0695728995372811</v>
      </c>
      <c r="E66" s="416"/>
      <c r="F66" s="416">
        <f>'Induced Peds'!F$42/1000000</f>
        <v>0</v>
      </c>
      <c r="G66" s="416">
        <f>'Induced Peds'!G$42/1000000</f>
        <v>0</v>
      </c>
      <c r="H66" s="416">
        <f>'Induced Peds'!H$42/1000000</f>
        <v>0</v>
      </c>
      <c r="I66" s="416">
        <f>'Induced Peds'!I$42/1000000</f>
        <v>0</v>
      </c>
      <c r="J66" s="416">
        <f>'Induced Peds'!J$42/1000000</f>
        <v>0</v>
      </c>
      <c r="K66" s="416">
        <f>'Induced Peds'!K$42/1000000</f>
        <v>0</v>
      </c>
      <c r="L66" s="416">
        <f>'Induced Peds'!L$42/1000000</f>
        <v>0</v>
      </c>
      <c r="M66" s="416">
        <f>'Induced Peds'!M$42/1000000</f>
        <v>0</v>
      </c>
      <c r="N66" s="416">
        <f>'Induced Peds'!N$42/1000000</f>
        <v>0</v>
      </c>
      <c r="O66" s="416">
        <f>'Induced Peds'!O$42/1000000</f>
        <v>5.9644610707058045E-2</v>
      </c>
      <c r="P66" s="416">
        <f>'Induced Peds'!P$42/1000000</f>
        <v>8.8556053793001924E-2</v>
      </c>
      <c r="Q66" s="416">
        <f>'Induced Peds'!Q$42/1000000</f>
        <v>0.11686201932223095</v>
      </c>
      <c r="R66" s="416">
        <f>'Induced Peds'!R$42/1000000</f>
        <v>0.11565146196336216</v>
      </c>
      <c r="S66" s="416">
        <f>'Induced Peds'!S$42/1000000</f>
        <v>0.11444344779222203</v>
      </c>
      <c r="T66" s="416">
        <f>'Induced Peds'!T$42/1000000</f>
        <v>0.11323834249593501</v>
      </c>
      <c r="U66" s="416">
        <f>'Induced Peds'!U$42/1000000</f>
        <v>0.11203649644318091</v>
      </c>
      <c r="V66" s="416">
        <f>'Induced Peds'!V$42/1000000</f>
        <v>0.11083824514432337</v>
      </c>
      <c r="W66" s="416">
        <f>'Induced Peds'!W$42/1000000</f>
        <v>0.10964390969938366</v>
      </c>
      <c r="X66" s="416">
        <f>'Induced Peds'!X$42/1000000</f>
        <v>0.10845379723415927</v>
      </c>
      <c r="Y66" s="416">
        <f>'Induced Peds'!Y$42/1000000</f>
        <v>0.1072682013247801</v>
      </c>
      <c r="Z66" s="416">
        <f>'Induced Peds'!Z$42/1000000</f>
        <v>0.10608740241098827</v>
      </c>
      <c r="AA66" s="416">
        <f>'Induced Peds'!AA$42/1000000</f>
        <v>0.10491166819841975</v>
      </c>
      <c r="AB66" s="416">
        <f>'Induced Peds'!AB$42/1000000</f>
        <v>0.10374125405016153</v>
      </c>
      <c r="AC66" s="416">
        <f>'Induced Peds'!AC$42/1000000</f>
        <v>0.10257640336784868</v>
      </c>
      <c r="AD66" s="416">
        <f>'Induced Peds'!AD$42/1000000</f>
        <v>0.10141734796256227</v>
      </c>
      <c r="AE66" s="416">
        <f>'Induced Peds'!AE$42/1000000</f>
        <v>0.1002643084157808</v>
      </c>
      <c r="AF66" s="416">
        <f>'Induced Peds'!AF$42/1000000</f>
        <v>9.9117494430632988E-2</v>
      </c>
      <c r="AG66" s="416">
        <f>'Induced Peds'!AG$42/1000000</f>
        <v>9.7977105173693263E-2</v>
      </c>
      <c r="AH66" s="416">
        <f>'Induced Peds'!AH$42/1000000</f>
        <v>9.6843329607556039E-2</v>
      </c>
      <c r="AI66" s="416">
        <f>'Induced Peds'!AI$42/1000000</f>
        <v>0</v>
      </c>
      <c r="AJ66" s="416">
        <f>'Induced Peds'!AJ$42/1000000</f>
        <v>0</v>
      </c>
      <c r="AK66" s="416">
        <f>'Induced Peds'!AK$42/1000000</f>
        <v>0</v>
      </c>
      <c r="AL66" s="416">
        <f>'Induced Peds'!AL$42/1000000</f>
        <v>0</v>
      </c>
      <c r="AM66" s="416">
        <f>'Induced Peds'!AM$42/1000000</f>
        <v>0</v>
      </c>
      <c r="AN66" s="416">
        <f>'Induced Peds'!AN$42/1000000</f>
        <v>0</v>
      </c>
      <c r="AO66" s="416">
        <f>'Induced Peds'!AO$42/1000000</f>
        <v>0</v>
      </c>
      <c r="AP66" s="416">
        <f>'Induced Peds'!AP$42/1000000</f>
        <v>0</v>
      </c>
      <c r="AQ66" s="416">
        <f>'Induced Peds'!AQ$42/1000000</f>
        <v>0</v>
      </c>
      <c r="AR66" s="416">
        <f>'Induced Peds'!AR$42/1000000</f>
        <v>0</v>
      </c>
    </row>
    <row r="67" spans="1:44" x14ac:dyDescent="0.2">
      <c r="A67" s="380"/>
      <c r="B67" s="397" t="s">
        <v>18</v>
      </c>
      <c r="C67" s="380"/>
      <c r="D67" s="416">
        <f t="shared" si="22"/>
        <v>2.6599541314155182E-2</v>
      </c>
      <c r="E67" s="416"/>
      <c r="F67" s="416">
        <f>'Bridge Hits'!F$46/1000000</f>
        <v>0</v>
      </c>
      <c r="G67" s="416">
        <f>'Bridge Hits'!G$46/1000000</f>
        <v>0</v>
      </c>
      <c r="H67" s="416">
        <f>'Bridge Hits'!H$46/1000000</f>
        <v>0</v>
      </c>
      <c r="I67" s="416">
        <f>'Bridge Hits'!I$46/1000000</f>
        <v>0</v>
      </c>
      <c r="J67" s="416">
        <f>'Bridge Hits'!J$46/1000000</f>
        <v>0</v>
      </c>
      <c r="K67" s="416">
        <f>'Bridge Hits'!K$46/1000000</f>
        <v>0</v>
      </c>
      <c r="L67" s="416">
        <f>'Bridge Hits'!L$46/1000000</f>
        <v>0</v>
      </c>
      <c r="M67" s="416">
        <f>'Bridge Hits'!M$46/1000000</f>
        <v>0</v>
      </c>
      <c r="N67" s="416">
        <f>'Bridge Hits'!N$46/1000000</f>
        <v>0</v>
      </c>
      <c r="O67" s="416">
        <f>'Bridge Hits'!O$46/1000000</f>
        <v>1.5948437749135336E-3</v>
      </c>
      <c r="P67" s="416">
        <f>'Bridge Hits'!P$46/1000000</f>
        <v>1.5635723283466019E-3</v>
      </c>
      <c r="Q67" s="416">
        <f>'Bridge Hits'!Q$46/1000000</f>
        <v>1.5329140473986291E-3</v>
      </c>
      <c r="R67" s="416">
        <f>'Bridge Hits'!R$46/1000000</f>
        <v>1.5028569092143426E-3</v>
      </c>
      <c r="S67" s="416">
        <f>'Bridge Hits'!S$46/1000000</f>
        <v>1.4733891266807276E-3</v>
      </c>
      <c r="T67" s="416">
        <f>'Bridge Hits'!T$46/1000000</f>
        <v>1.4444991438046352E-3</v>
      </c>
      <c r="U67" s="416">
        <f>'Bridge Hits'!U$46/1000000</f>
        <v>1.4161756311810148E-3</v>
      </c>
      <c r="V67" s="416">
        <f>'Bridge Hits'!V$46/1000000</f>
        <v>1.3884074815500146E-3</v>
      </c>
      <c r="W67" s="416">
        <f>'Bridge Hits'!W$46/1000000</f>
        <v>1.3611838054411907E-3</v>
      </c>
      <c r="X67" s="416">
        <f>'Bridge Hits'!X$46/1000000</f>
        <v>1.3344939269031284E-3</v>
      </c>
      <c r="Y67" s="416">
        <f>'Bridge Hits'!Y$46/1000000</f>
        <v>1.3083273793167924E-3</v>
      </c>
      <c r="Z67" s="416">
        <f>'Bridge Hits'!Z$46/1000000</f>
        <v>1.2826739012909729E-3</v>
      </c>
      <c r="AA67" s="416">
        <f>'Bridge Hits'!AA$46/1000000</f>
        <v>1.2575234326382087E-3</v>
      </c>
      <c r="AB67" s="416">
        <f>'Bridge Hits'!AB$46/1000000</f>
        <v>1.2328661104296164E-3</v>
      </c>
      <c r="AC67" s="416">
        <f>'Bridge Hits'!AC$46/1000000</f>
        <v>1.208692265127075E-3</v>
      </c>
      <c r="AD67" s="416">
        <f>'Bridge Hits'!AD$46/1000000</f>
        <v>1.1849924167912499E-3</v>
      </c>
      <c r="AE67" s="416">
        <f>'Bridge Hits'!AE$46/1000000</f>
        <v>1.1617572713639706E-3</v>
      </c>
      <c r="AF67" s="416">
        <f>'Bridge Hits'!AF$46/1000000</f>
        <v>1.1389777170235005E-3</v>
      </c>
      <c r="AG67" s="416">
        <f>'Bridge Hits'!AG$46/1000000</f>
        <v>1.1166448206112749E-3</v>
      </c>
      <c r="AH67" s="416">
        <f>'Bridge Hits'!AH$46/1000000</f>
        <v>1.0947498241287009E-3</v>
      </c>
      <c r="AI67" s="416">
        <f>'Bridge Hits'!AI$46/1000000</f>
        <v>0</v>
      </c>
      <c r="AJ67" s="416">
        <f>'Bridge Hits'!AJ$46/1000000</f>
        <v>0</v>
      </c>
      <c r="AK67" s="416">
        <f>'Bridge Hits'!AK$46/1000000</f>
        <v>0</v>
      </c>
      <c r="AL67" s="416">
        <f>'Bridge Hits'!AL$46/1000000</f>
        <v>0</v>
      </c>
      <c r="AM67" s="416">
        <f>'Bridge Hits'!AM$46/1000000</f>
        <v>0</v>
      </c>
      <c r="AN67" s="416">
        <f>'Bridge Hits'!AN$46/1000000</f>
        <v>0</v>
      </c>
      <c r="AO67" s="416">
        <f>'Bridge Hits'!AO$46/1000000</f>
        <v>0</v>
      </c>
      <c r="AP67" s="416">
        <f>'Bridge Hits'!AP$46/1000000</f>
        <v>0</v>
      </c>
      <c r="AQ67" s="416">
        <f>'Bridge Hits'!AQ$46/1000000</f>
        <v>0</v>
      </c>
      <c r="AR67" s="416">
        <f>'Bridge Hits'!AR$46/1000000</f>
        <v>0</v>
      </c>
    </row>
    <row r="68" spans="1:44" x14ac:dyDescent="0.2">
      <c r="A68" s="380"/>
      <c r="B68" s="388" t="s">
        <v>37</v>
      </c>
      <c r="C68" s="380"/>
      <c r="D68" s="416">
        <f>SUM(F68:AR68)</f>
        <v>2.6119269830089764</v>
      </c>
      <c r="E68" s="416"/>
      <c r="F68" s="416">
        <f>-'Project Costs'!F$72/1000000</f>
        <v>0</v>
      </c>
      <c r="G68" s="416">
        <f>-'Project Costs'!G$72/1000000</f>
        <v>0</v>
      </c>
      <c r="H68" s="416">
        <f>-'Project Costs'!H$72/1000000</f>
        <v>0</v>
      </c>
      <c r="I68" s="416">
        <f>-'Project Costs'!I$72/1000000</f>
        <v>0</v>
      </c>
      <c r="J68" s="416">
        <f>-'Project Costs'!J$72/1000000</f>
        <v>0</v>
      </c>
      <c r="K68" s="416">
        <f>-'Project Costs'!K$72/1000000</f>
        <v>0</v>
      </c>
      <c r="L68" s="416">
        <f>-'Project Costs'!L$72/1000000</f>
        <v>0</v>
      </c>
      <c r="M68" s="416">
        <f>-'Project Costs'!M$72/1000000</f>
        <v>0</v>
      </c>
      <c r="N68" s="416">
        <f>-'Project Costs'!N$72/1000000</f>
        <v>0</v>
      </c>
      <c r="O68" s="416">
        <f>-'Project Costs'!O$72/1000000</f>
        <v>-0.2901062737810941</v>
      </c>
      <c r="P68" s="416">
        <f>-'Project Costs'!P$72/1000000</f>
        <v>0</v>
      </c>
      <c r="Q68" s="416">
        <f>-'Project Costs'!Q$72/1000000</f>
        <v>0</v>
      </c>
      <c r="R68" s="416">
        <f>-'Project Costs'!R$72/1000000</f>
        <v>1.2590807923884153</v>
      </c>
      <c r="S68" s="416">
        <f>-'Project Costs'!S$72/1000000</f>
        <v>0</v>
      </c>
      <c r="T68" s="416">
        <f>-'Project Costs'!T$72/1000000</f>
        <v>0</v>
      </c>
      <c r="U68" s="416">
        <f>-'Project Costs'!U$72/1000000</f>
        <v>0</v>
      </c>
      <c r="V68" s="416">
        <f>-'Project Costs'!V$72/1000000</f>
        <v>0</v>
      </c>
      <c r="W68" s="416">
        <f>-'Project Costs'!W$72/1000000</f>
        <v>0.70743688941144633</v>
      </c>
      <c r="X68" s="416">
        <f>-'Project Costs'!X$72/1000000</f>
        <v>0</v>
      </c>
      <c r="Y68" s="416">
        <f>-'Project Costs'!Y$72/1000000</f>
        <v>0</v>
      </c>
      <c r="Z68" s="416">
        <f>-'Project Costs'!Z$72/1000000</f>
        <v>0</v>
      </c>
      <c r="AA68" s="416">
        <f>-'Project Costs'!AA$72/1000000</f>
        <v>0</v>
      </c>
      <c r="AB68" s="416">
        <f>-'Project Costs'!AB$72/1000000</f>
        <v>0</v>
      </c>
      <c r="AC68" s="416">
        <f>-'Project Costs'!AC$72/1000000</f>
        <v>0</v>
      </c>
      <c r="AD68" s="416">
        <f>-'Project Costs'!AD$72/1000000</f>
        <v>0</v>
      </c>
      <c r="AE68" s="416">
        <f>-'Project Costs'!AE$72/1000000</f>
        <v>0</v>
      </c>
      <c r="AF68" s="416">
        <f>-'Project Costs'!AF$72/1000000</f>
        <v>0</v>
      </c>
      <c r="AG68" s="416">
        <f>-'Project Costs'!AG$72/1000000</f>
        <v>0.93551557499020899</v>
      </c>
      <c r="AH68" s="416">
        <f>-'Project Costs'!AH$72/1000000</f>
        <v>0</v>
      </c>
      <c r="AI68" s="416">
        <f>-'Project Costs'!AI$72/1000000</f>
        <v>0</v>
      </c>
      <c r="AJ68" s="416">
        <f>-'Project Costs'!AJ$72/1000000</f>
        <v>0</v>
      </c>
      <c r="AK68" s="416">
        <f>-'Project Costs'!AK$72/1000000</f>
        <v>0</v>
      </c>
      <c r="AL68" s="416">
        <f>-'Project Costs'!AL$72/1000000</f>
        <v>0</v>
      </c>
      <c r="AM68" s="416">
        <f>-'Project Costs'!AM$72/1000000</f>
        <v>0</v>
      </c>
      <c r="AN68" s="416">
        <f>-'Project Costs'!AN$72/1000000</f>
        <v>0</v>
      </c>
      <c r="AO68" s="416">
        <f>-'Project Costs'!AO$72/1000000</f>
        <v>0</v>
      </c>
      <c r="AP68" s="416">
        <f>-'Project Costs'!AP$72/1000000</f>
        <v>0</v>
      </c>
      <c r="AQ68" s="416">
        <f>-'Project Costs'!AQ$72/1000000</f>
        <v>0</v>
      </c>
      <c r="AR68" s="416">
        <f>-'Project Costs'!AR$72/1000000</f>
        <v>0</v>
      </c>
    </row>
    <row r="69" spans="1:44" x14ac:dyDescent="0.2">
      <c r="A69" s="380"/>
      <c r="B69" s="397" t="s">
        <v>20</v>
      </c>
      <c r="C69" s="380"/>
      <c r="D69" s="416">
        <f t="shared" si="22"/>
        <v>0</v>
      </c>
      <c r="E69" s="416"/>
      <c r="F69" s="416">
        <f>'Residual Value'!F$55/1000000</f>
        <v>0</v>
      </c>
      <c r="G69" s="416">
        <f>'Residual Value'!G$55/1000000</f>
        <v>0</v>
      </c>
      <c r="H69" s="416">
        <f>'Residual Value'!H$55/1000000</f>
        <v>0</v>
      </c>
      <c r="I69" s="416">
        <f>'Residual Value'!I$55/1000000</f>
        <v>0</v>
      </c>
      <c r="J69" s="416">
        <f>'Residual Value'!J$55/1000000</f>
        <v>0</v>
      </c>
      <c r="K69" s="416">
        <f>'Residual Value'!K$55/1000000</f>
        <v>0</v>
      </c>
      <c r="L69" s="416">
        <f>'Residual Value'!L$55/1000000</f>
        <v>0</v>
      </c>
      <c r="M69" s="416">
        <f>'Residual Value'!M$55/1000000</f>
        <v>0</v>
      </c>
      <c r="N69" s="416">
        <f>'Residual Value'!N$55/1000000</f>
        <v>0</v>
      </c>
      <c r="O69" s="416">
        <f>'Residual Value'!O$55/1000000</f>
        <v>0</v>
      </c>
      <c r="P69" s="416">
        <f>'Residual Value'!P$55/1000000</f>
        <v>0</v>
      </c>
      <c r="Q69" s="416">
        <f>'Residual Value'!Q$55/1000000</f>
        <v>0</v>
      </c>
      <c r="R69" s="416">
        <f>'Residual Value'!R$55/1000000</f>
        <v>0</v>
      </c>
      <c r="S69" s="416">
        <f>'Residual Value'!S$55/1000000</f>
        <v>0</v>
      </c>
      <c r="T69" s="416">
        <f>'Residual Value'!T$55/1000000</f>
        <v>0</v>
      </c>
      <c r="U69" s="416">
        <f>'Residual Value'!U$55/1000000</f>
        <v>0</v>
      </c>
      <c r="V69" s="416">
        <f>'Residual Value'!V$55/1000000</f>
        <v>0</v>
      </c>
      <c r="W69" s="416">
        <f>'Residual Value'!W$55/1000000</f>
        <v>0</v>
      </c>
      <c r="X69" s="416">
        <f>'Residual Value'!X$55/1000000</f>
        <v>0</v>
      </c>
      <c r="Y69" s="416">
        <f>'Residual Value'!Y$55/1000000</f>
        <v>0</v>
      </c>
      <c r="Z69" s="416">
        <f>'Residual Value'!Z$55/1000000</f>
        <v>0</v>
      </c>
      <c r="AA69" s="416">
        <f>'Residual Value'!AA$55/1000000</f>
        <v>0</v>
      </c>
      <c r="AB69" s="416">
        <f>'Residual Value'!AB$55/1000000</f>
        <v>0</v>
      </c>
      <c r="AC69" s="416">
        <f>'Residual Value'!AC$55/1000000</f>
        <v>0</v>
      </c>
      <c r="AD69" s="416">
        <f>'Residual Value'!AD$55/1000000</f>
        <v>0</v>
      </c>
      <c r="AE69" s="416">
        <f>'Residual Value'!AE$55/1000000</f>
        <v>0</v>
      </c>
      <c r="AF69" s="416">
        <f>'Residual Value'!AF$55/1000000</f>
        <v>0</v>
      </c>
      <c r="AG69" s="416">
        <f>'Residual Value'!AG$55/1000000</f>
        <v>0</v>
      </c>
      <c r="AH69" s="416">
        <f>'Residual Value'!AH$55/1000000</f>
        <v>0</v>
      </c>
      <c r="AI69" s="416">
        <f>'Residual Value'!AI$55/1000000</f>
        <v>0</v>
      </c>
      <c r="AJ69" s="416">
        <f>'Residual Value'!AJ$55/1000000</f>
        <v>0</v>
      </c>
      <c r="AK69" s="416">
        <f>'Residual Value'!AK$55/1000000</f>
        <v>0</v>
      </c>
      <c r="AL69" s="416">
        <f>'Residual Value'!AL$55/1000000</f>
        <v>0</v>
      </c>
      <c r="AM69" s="416">
        <f>'Residual Value'!AM$55/1000000</f>
        <v>0</v>
      </c>
      <c r="AN69" s="416">
        <f>'Residual Value'!AN$55/1000000</f>
        <v>0</v>
      </c>
      <c r="AO69" s="416">
        <f>'Residual Value'!AO$55/1000000</f>
        <v>0</v>
      </c>
      <c r="AP69" s="416">
        <f>'Residual Value'!AP$55/1000000</f>
        <v>0</v>
      </c>
      <c r="AQ69" s="416">
        <f>'Residual Value'!AQ$55/1000000</f>
        <v>0</v>
      </c>
      <c r="AR69" s="416">
        <f>'Residual Value'!AR$55/1000000</f>
        <v>0</v>
      </c>
    </row>
    <row r="70" spans="1:44" ht="15.75" thickBot="1" x14ac:dyDescent="0.3">
      <c r="A70" s="380"/>
      <c r="B70" s="124" t="s">
        <v>26</v>
      </c>
      <c r="C70" s="126"/>
      <c r="D70" s="133">
        <f t="shared" si="22"/>
        <v>50.568615710253326</v>
      </c>
      <c r="E70" s="133"/>
      <c r="F70" s="133">
        <f t="shared" ref="F70:AR70" si="23">SUM(F61:F69)</f>
        <v>0</v>
      </c>
      <c r="G70" s="133">
        <f t="shared" si="23"/>
        <v>0</v>
      </c>
      <c r="H70" s="133">
        <f t="shared" si="23"/>
        <v>0</v>
      </c>
      <c r="I70" s="133">
        <f t="shared" si="23"/>
        <v>0</v>
      </c>
      <c r="J70" s="133">
        <f t="shared" si="23"/>
        <v>0</v>
      </c>
      <c r="K70" s="133">
        <f t="shared" si="23"/>
        <v>0</v>
      </c>
      <c r="L70" s="133">
        <f t="shared" si="23"/>
        <v>0</v>
      </c>
      <c r="M70" s="133">
        <f t="shared" si="23"/>
        <v>0</v>
      </c>
      <c r="N70" s="133">
        <f t="shared" si="23"/>
        <v>0</v>
      </c>
      <c r="O70" s="133">
        <f t="shared" si="23"/>
        <v>1.3714651530602797</v>
      </c>
      <c r="P70" s="133">
        <f t="shared" si="23"/>
        <v>1.8085114756439793</v>
      </c>
      <c r="Q70" s="133">
        <f t="shared" si="23"/>
        <v>1.9511473725254143</v>
      </c>
      <c r="R70" s="133">
        <f t="shared" si="23"/>
        <v>3.2894608607354541</v>
      </c>
      <c r="S70" s="133">
        <f t="shared" si="23"/>
        <v>2.103882421843835</v>
      </c>
      <c r="T70" s="133">
        <f t="shared" si="23"/>
        <v>2.1763863401703945</v>
      </c>
      <c r="U70" s="133">
        <f t="shared" si="23"/>
        <v>2.2442415812771412</v>
      </c>
      <c r="V70" s="133">
        <f t="shared" si="23"/>
        <v>2.3090665889829722</v>
      </c>
      <c r="W70" s="133">
        <f t="shared" si="23"/>
        <v>3.0775943146782039</v>
      </c>
      <c r="X70" s="133">
        <f t="shared" si="23"/>
        <v>2.431734599809015</v>
      </c>
      <c r="Y70" s="133">
        <f t="shared" si="23"/>
        <v>2.4862147939843244</v>
      </c>
      <c r="Z70" s="133">
        <f t="shared" si="23"/>
        <v>2.5383831341188503</v>
      </c>
      <c r="AA70" s="133">
        <f t="shared" si="23"/>
        <v>2.5882284416639041</v>
      </c>
      <c r="AB70" s="133">
        <f t="shared" si="23"/>
        <v>2.6338415004635043</v>
      </c>
      <c r="AC70" s="133">
        <f t="shared" si="23"/>
        <v>2.6761716368021595</v>
      </c>
      <c r="AD70" s="133">
        <f t="shared" si="23"/>
        <v>2.716973723270697</v>
      </c>
      <c r="AE70" s="133">
        <f t="shared" si="23"/>
        <v>2.752058682655353</v>
      </c>
      <c r="AF70" s="133">
        <f t="shared" si="23"/>
        <v>2.7896879419252878</v>
      </c>
      <c r="AG70" s="133">
        <f t="shared" si="23"/>
        <v>3.7575129093325264</v>
      </c>
      <c r="AH70" s="133">
        <f t="shared" si="23"/>
        <v>2.8660522373100257</v>
      </c>
      <c r="AI70" s="133">
        <f t="shared" si="23"/>
        <v>0</v>
      </c>
      <c r="AJ70" s="133">
        <f t="shared" si="23"/>
        <v>0</v>
      </c>
      <c r="AK70" s="133">
        <f t="shared" si="23"/>
        <v>0</v>
      </c>
      <c r="AL70" s="133">
        <f t="shared" si="23"/>
        <v>0</v>
      </c>
      <c r="AM70" s="133">
        <f t="shared" si="23"/>
        <v>0</v>
      </c>
      <c r="AN70" s="133">
        <f t="shared" si="23"/>
        <v>0</v>
      </c>
      <c r="AO70" s="133">
        <f t="shared" si="23"/>
        <v>0</v>
      </c>
      <c r="AP70" s="133">
        <f t="shared" si="23"/>
        <v>0</v>
      </c>
      <c r="AQ70" s="133">
        <f t="shared" si="23"/>
        <v>0</v>
      </c>
      <c r="AR70" s="134">
        <f t="shared" si="23"/>
        <v>0</v>
      </c>
    </row>
    <row r="71" spans="1:44" ht="15" thickBot="1" x14ac:dyDescent="0.25">
      <c r="A71" s="380"/>
      <c r="B71" s="380"/>
      <c r="C71" s="380"/>
      <c r="D71" s="417"/>
      <c r="E71" s="417"/>
      <c r="F71" s="417"/>
      <c r="G71" s="417"/>
      <c r="H71" s="417"/>
      <c r="I71" s="417"/>
      <c r="J71" s="417"/>
      <c r="K71" s="417"/>
      <c r="L71" s="417"/>
      <c r="M71" s="417"/>
      <c r="N71" s="417"/>
      <c r="O71" s="417"/>
      <c r="P71" s="417"/>
      <c r="Q71" s="417"/>
      <c r="R71" s="417"/>
      <c r="S71" s="417"/>
      <c r="T71" s="417"/>
      <c r="U71" s="417"/>
      <c r="V71" s="417"/>
      <c r="W71" s="417"/>
      <c r="X71" s="417"/>
      <c r="Y71" s="417"/>
      <c r="Z71" s="417"/>
      <c r="AA71" s="417"/>
      <c r="AB71" s="417"/>
      <c r="AC71" s="417"/>
      <c r="AD71" s="417"/>
      <c r="AE71" s="417"/>
      <c r="AF71" s="417"/>
      <c r="AG71" s="417"/>
      <c r="AH71" s="417"/>
      <c r="AI71" s="417"/>
      <c r="AJ71" s="417"/>
      <c r="AK71" s="417"/>
      <c r="AL71" s="417"/>
      <c r="AM71" s="417"/>
      <c r="AN71" s="417"/>
      <c r="AO71" s="417"/>
      <c r="AP71" s="417"/>
      <c r="AQ71" s="417"/>
      <c r="AR71" s="417"/>
    </row>
    <row r="72" spans="1:44" ht="18" thickBot="1" x14ac:dyDescent="0.35">
      <c r="A72" s="380"/>
      <c r="B72" s="31" t="s">
        <v>38</v>
      </c>
      <c r="C72" s="32"/>
      <c r="D72" s="32" t="s">
        <v>34</v>
      </c>
      <c r="E72" s="32"/>
      <c r="F72" s="58">
        <f t="shared" ref="F72:AR72" si="24">F60</f>
        <v>2018</v>
      </c>
      <c r="G72" s="58">
        <f t="shared" si="24"/>
        <v>2019</v>
      </c>
      <c r="H72" s="58">
        <f t="shared" si="24"/>
        <v>2020</v>
      </c>
      <c r="I72" s="58">
        <f t="shared" si="24"/>
        <v>2021</v>
      </c>
      <c r="J72" s="58">
        <f t="shared" si="24"/>
        <v>2022</v>
      </c>
      <c r="K72" s="58">
        <f t="shared" si="24"/>
        <v>2023</v>
      </c>
      <c r="L72" s="58">
        <f t="shared" si="24"/>
        <v>2024</v>
      </c>
      <c r="M72" s="58">
        <f t="shared" si="24"/>
        <v>2025</v>
      </c>
      <c r="N72" s="58">
        <f t="shared" si="24"/>
        <v>2026</v>
      </c>
      <c r="O72" s="58">
        <f t="shared" si="24"/>
        <v>2027</v>
      </c>
      <c r="P72" s="58">
        <f t="shared" si="24"/>
        <v>2028</v>
      </c>
      <c r="Q72" s="58">
        <f t="shared" si="24"/>
        <v>2029</v>
      </c>
      <c r="R72" s="58">
        <f t="shared" si="24"/>
        <v>2030</v>
      </c>
      <c r="S72" s="58">
        <f t="shared" si="24"/>
        <v>2031</v>
      </c>
      <c r="T72" s="58">
        <f t="shared" si="24"/>
        <v>2032</v>
      </c>
      <c r="U72" s="58">
        <f t="shared" si="24"/>
        <v>2033</v>
      </c>
      <c r="V72" s="58">
        <f t="shared" si="24"/>
        <v>2034</v>
      </c>
      <c r="W72" s="58">
        <f t="shared" si="24"/>
        <v>2035</v>
      </c>
      <c r="X72" s="58">
        <f t="shared" si="24"/>
        <v>2036</v>
      </c>
      <c r="Y72" s="58">
        <f t="shared" si="24"/>
        <v>2037</v>
      </c>
      <c r="Z72" s="58">
        <f t="shared" si="24"/>
        <v>2038</v>
      </c>
      <c r="AA72" s="58">
        <f t="shared" si="24"/>
        <v>2039</v>
      </c>
      <c r="AB72" s="58">
        <f t="shared" si="24"/>
        <v>2040</v>
      </c>
      <c r="AC72" s="58">
        <f t="shared" si="24"/>
        <v>2041</v>
      </c>
      <c r="AD72" s="58">
        <f t="shared" si="24"/>
        <v>2042</v>
      </c>
      <c r="AE72" s="58">
        <f t="shared" si="24"/>
        <v>2043</v>
      </c>
      <c r="AF72" s="58">
        <f t="shared" si="24"/>
        <v>2044</v>
      </c>
      <c r="AG72" s="58">
        <f t="shared" si="24"/>
        <v>2045</v>
      </c>
      <c r="AH72" s="58">
        <f t="shared" si="24"/>
        <v>2046</v>
      </c>
      <c r="AI72" s="58">
        <f t="shared" si="24"/>
        <v>2047</v>
      </c>
      <c r="AJ72" s="58">
        <f t="shared" si="24"/>
        <v>2048</v>
      </c>
      <c r="AK72" s="58">
        <f t="shared" si="24"/>
        <v>2049</v>
      </c>
      <c r="AL72" s="58">
        <f t="shared" si="24"/>
        <v>2050</v>
      </c>
      <c r="AM72" s="58">
        <f t="shared" si="24"/>
        <v>2051</v>
      </c>
      <c r="AN72" s="58">
        <f t="shared" si="24"/>
        <v>2052</v>
      </c>
      <c r="AO72" s="58">
        <f t="shared" si="24"/>
        <v>2053</v>
      </c>
      <c r="AP72" s="58">
        <f t="shared" si="24"/>
        <v>2054</v>
      </c>
      <c r="AQ72" s="58">
        <f t="shared" si="24"/>
        <v>2055</v>
      </c>
      <c r="AR72" s="125">
        <f t="shared" si="24"/>
        <v>2056</v>
      </c>
    </row>
    <row r="73" spans="1:44" ht="15" thickBot="1" x14ac:dyDescent="0.25">
      <c r="A73" s="380"/>
      <c r="B73" s="394" t="s">
        <v>24</v>
      </c>
      <c r="C73" s="380"/>
      <c r="D73" s="416">
        <f>SUM(F73:AR73)</f>
        <v>-25.07631834171999</v>
      </c>
      <c r="E73" s="416"/>
      <c r="F73" s="416">
        <f>-'Project Costs'!F$67/1000000</f>
        <v>0</v>
      </c>
      <c r="G73" s="416">
        <f>-'Project Costs'!G$67/1000000</f>
        <v>0</v>
      </c>
      <c r="H73" s="416">
        <f>-'Project Costs'!H$67/1000000</f>
        <v>0</v>
      </c>
      <c r="I73" s="416">
        <f>-'Project Costs'!I$67/1000000</f>
        <v>0</v>
      </c>
      <c r="J73" s="416">
        <f>-'Project Costs'!J$67/1000000</f>
        <v>0</v>
      </c>
      <c r="K73" s="416">
        <f>-'Project Costs'!K$67/1000000</f>
        <v>0</v>
      </c>
      <c r="L73" s="416">
        <f>-'Project Costs'!L$67/1000000</f>
        <v>-2.399701085290399</v>
      </c>
      <c r="M73" s="416">
        <f>-'Project Costs'!M$67/1000000</f>
        <v>-11.450569109682268</v>
      </c>
      <c r="N73" s="416">
        <f>-'Project Costs'!N$67/1000000</f>
        <v>-11.226048146747321</v>
      </c>
      <c r="O73" s="416">
        <f>-'Project Costs'!O$67/1000000</f>
        <v>0</v>
      </c>
      <c r="P73" s="416">
        <f>-'Project Costs'!P$67/1000000</f>
        <v>0</v>
      </c>
      <c r="Q73" s="416">
        <f>-'Project Costs'!Q$67/1000000</f>
        <v>0</v>
      </c>
      <c r="R73" s="416">
        <f>-'Project Costs'!R$67/1000000</f>
        <v>0</v>
      </c>
      <c r="S73" s="416">
        <f>-'Project Costs'!S$67/1000000</f>
        <v>0</v>
      </c>
      <c r="T73" s="416">
        <f>-'Project Costs'!T$67/1000000</f>
        <v>0</v>
      </c>
      <c r="U73" s="416">
        <f>-'Project Costs'!U$67/1000000</f>
        <v>0</v>
      </c>
      <c r="V73" s="416">
        <f>-'Project Costs'!V$67/1000000</f>
        <v>0</v>
      </c>
      <c r="W73" s="416">
        <f>-'Project Costs'!W$67/1000000</f>
        <v>0</v>
      </c>
      <c r="X73" s="416">
        <f>-'Project Costs'!X$67/1000000</f>
        <v>0</v>
      </c>
      <c r="Y73" s="416">
        <f>-'Project Costs'!Y$67/1000000</f>
        <v>0</v>
      </c>
      <c r="Z73" s="416">
        <f>-'Project Costs'!Z$67/1000000</f>
        <v>0</v>
      </c>
      <c r="AA73" s="416">
        <f>-'Project Costs'!AA$67/1000000</f>
        <v>0</v>
      </c>
      <c r="AB73" s="416">
        <f>-'Project Costs'!AB$67/1000000</f>
        <v>0</v>
      </c>
      <c r="AC73" s="416">
        <f>-'Project Costs'!AC$67/1000000</f>
        <v>0</v>
      </c>
      <c r="AD73" s="416">
        <f>-'Project Costs'!AD$67/1000000</f>
        <v>0</v>
      </c>
      <c r="AE73" s="416">
        <f>-'Project Costs'!AE$67/1000000</f>
        <v>0</v>
      </c>
      <c r="AF73" s="416">
        <f>-'Project Costs'!AF$67/1000000</f>
        <v>0</v>
      </c>
      <c r="AG73" s="416">
        <f>-'Project Costs'!AG$67/1000000</f>
        <v>0</v>
      </c>
      <c r="AH73" s="416">
        <f>-'Project Costs'!AH$67/1000000</f>
        <v>0</v>
      </c>
      <c r="AI73" s="416">
        <f>-'Project Costs'!AI$67/1000000</f>
        <v>0</v>
      </c>
      <c r="AJ73" s="416">
        <f>-'Project Costs'!AJ$67/1000000</f>
        <v>0</v>
      </c>
      <c r="AK73" s="416">
        <f>-'Project Costs'!AK$67/1000000</f>
        <v>0</v>
      </c>
      <c r="AL73" s="416">
        <f>-'Project Costs'!AL$67/1000000</f>
        <v>0</v>
      </c>
      <c r="AM73" s="416">
        <f>-'Project Costs'!AM$67/1000000</f>
        <v>0</v>
      </c>
      <c r="AN73" s="416">
        <f>-'Project Costs'!AN$67/1000000</f>
        <v>0</v>
      </c>
      <c r="AO73" s="416">
        <f>-'Project Costs'!AO$67/1000000</f>
        <v>0</v>
      </c>
      <c r="AP73" s="416">
        <f>-'Project Costs'!AP$67/1000000</f>
        <v>0</v>
      </c>
      <c r="AQ73" s="416">
        <f>-'Project Costs'!AQ$67/1000000</f>
        <v>0</v>
      </c>
      <c r="AR73" s="416">
        <f>-'Project Costs'!AR$67/1000000</f>
        <v>0</v>
      </c>
    </row>
    <row r="74" spans="1:44" ht="15.75" thickBot="1" x14ac:dyDescent="0.3">
      <c r="A74" s="380"/>
      <c r="B74" s="130" t="s">
        <v>27</v>
      </c>
      <c r="C74" s="129"/>
      <c r="D74" s="135">
        <f t="shared" ref="D74" si="25">SUM(F74:AR74)</f>
        <v>-25.07631834171999</v>
      </c>
      <c r="E74" s="135"/>
      <c r="F74" s="135">
        <f t="shared" ref="F74:AR74" si="26">SUM(F73:F73)</f>
        <v>0</v>
      </c>
      <c r="G74" s="135">
        <f t="shared" si="26"/>
        <v>0</v>
      </c>
      <c r="H74" s="135">
        <f t="shared" si="26"/>
        <v>0</v>
      </c>
      <c r="I74" s="135">
        <f t="shared" si="26"/>
        <v>0</v>
      </c>
      <c r="J74" s="135">
        <f t="shared" si="26"/>
        <v>0</v>
      </c>
      <c r="K74" s="135">
        <f t="shared" si="26"/>
        <v>0</v>
      </c>
      <c r="L74" s="135">
        <f t="shared" si="26"/>
        <v>-2.399701085290399</v>
      </c>
      <c r="M74" s="135">
        <f t="shared" si="26"/>
        <v>-11.450569109682268</v>
      </c>
      <c r="N74" s="135">
        <f t="shared" si="26"/>
        <v>-11.226048146747321</v>
      </c>
      <c r="O74" s="135">
        <f t="shared" si="26"/>
        <v>0</v>
      </c>
      <c r="P74" s="135">
        <f t="shared" si="26"/>
        <v>0</v>
      </c>
      <c r="Q74" s="135">
        <f t="shared" si="26"/>
        <v>0</v>
      </c>
      <c r="R74" s="135">
        <f t="shared" si="26"/>
        <v>0</v>
      </c>
      <c r="S74" s="135">
        <f t="shared" si="26"/>
        <v>0</v>
      </c>
      <c r="T74" s="135">
        <f t="shared" si="26"/>
        <v>0</v>
      </c>
      <c r="U74" s="135">
        <f t="shared" si="26"/>
        <v>0</v>
      </c>
      <c r="V74" s="135">
        <f t="shared" si="26"/>
        <v>0</v>
      </c>
      <c r="W74" s="135">
        <f t="shared" si="26"/>
        <v>0</v>
      </c>
      <c r="X74" s="135">
        <f t="shared" si="26"/>
        <v>0</v>
      </c>
      <c r="Y74" s="135">
        <f t="shared" si="26"/>
        <v>0</v>
      </c>
      <c r="Z74" s="135">
        <f t="shared" si="26"/>
        <v>0</v>
      </c>
      <c r="AA74" s="135">
        <f t="shared" si="26"/>
        <v>0</v>
      </c>
      <c r="AB74" s="135">
        <f t="shared" si="26"/>
        <v>0</v>
      </c>
      <c r="AC74" s="135">
        <f t="shared" si="26"/>
        <v>0</v>
      </c>
      <c r="AD74" s="135">
        <f t="shared" si="26"/>
        <v>0</v>
      </c>
      <c r="AE74" s="135">
        <f t="shared" si="26"/>
        <v>0</v>
      </c>
      <c r="AF74" s="135">
        <f t="shared" si="26"/>
        <v>0</v>
      </c>
      <c r="AG74" s="135">
        <f t="shared" si="26"/>
        <v>0</v>
      </c>
      <c r="AH74" s="135">
        <f t="shared" si="26"/>
        <v>0</v>
      </c>
      <c r="AI74" s="135">
        <f t="shared" si="26"/>
        <v>0</v>
      </c>
      <c r="AJ74" s="135">
        <f t="shared" si="26"/>
        <v>0</v>
      </c>
      <c r="AK74" s="135">
        <f t="shared" si="26"/>
        <v>0</v>
      </c>
      <c r="AL74" s="135">
        <f t="shared" si="26"/>
        <v>0</v>
      </c>
      <c r="AM74" s="135">
        <f t="shared" si="26"/>
        <v>0</v>
      </c>
      <c r="AN74" s="135">
        <f t="shared" si="26"/>
        <v>0</v>
      </c>
      <c r="AO74" s="135">
        <f t="shared" si="26"/>
        <v>0</v>
      </c>
      <c r="AP74" s="135">
        <f t="shared" si="26"/>
        <v>0</v>
      </c>
      <c r="AQ74" s="135">
        <f t="shared" si="26"/>
        <v>0</v>
      </c>
      <c r="AR74" s="136">
        <f t="shared" si="26"/>
        <v>0</v>
      </c>
    </row>
    <row r="75" spans="1:44" ht="15.75" thickBot="1" x14ac:dyDescent="0.3">
      <c r="A75" s="380"/>
      <c r="B75" s="2"/>
      <c r="C75" s="2"/>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row>
    <row r="76" spans="1:44" ht="15.75" thickBot="1" x14ac:dyDescent="0.3">
      <c r="A76" s="380"/>
      <c r="B76" s="128" t="s">
        <v>39</v>
      </c>
      <c r="C76" s="129"/>
      <c r="D76" s="135">
        <f t="shared" ref="D76" si="27">SUM(F76:AR76)</f>
        <v>25.492297368533325</v>
      </c>
      <c r="E76" s="135"/>
      <c r="F76" s="135">
        <f t="shared" ref="F76:AR76" si="28">F70+F74</f>
        <v>0</v>
      </c>
      <c r="G76" s="135">
        <f t="shared" si="28"/>
        <v>0</v>
      </c>
      <c r="H76" s="135">
        <f t="shared" si="28"/>
        <v>0</v>
      </c>
      <c r="I76" s="135">
        <f t="shared" si="28"/>
        <v>0</v>
      </c>
      <c r="J76" s="135">
        <f t="shared" si="28"/>
        <v>0</v>
      </c>
      <c r="K76" s="135">
        <f t="shared" si="28"/>
        <v>0</v>
      </c>
      <c r="L76" s="135">
        <f t="shared" si="28"/>
        <v>-2.399701085290399</v>
      </c>
      <c r="M76" s="135">
        <f t="shared" si="28"/>
        <v>-11.450569109682268</v>
      </c>
      <c r="N76" s="135">
        <f t="shared" si="28"/>
        <v>-11.226048146747321</v>
      </c>
      <c r="O76" s="135">
        <f t="shared" si="28"/>
        <v>1.3714651530602797</v>
      </c>
      <c r="P76" s="135">
        <f t="shared" si="28"/>
        <v>1.8085114756439793</v>
      </c>
      <c r="Q76" s="135">
        <f t="shared" si="28"/>
        <v>1.9511473725254143</v>
      </c>
      <c r="R76" s="135">
        <f t="shared" si="28"/>
        <v>3.2894608607354541</v>
      </c>
      <c r="S76" s="135">
        <f t="shared" si="28"/>
        <v>2.103882421843835</v>
      </c>
      <c r="T76" s="135">
        <f t="shared" si="28"/>
        <v>2.1763863401703945</v>
      </c>
      <c r="U76" s="135">
        <f t="shared" si="28"/>
        <v>2.2442415812771412</v>
      </c>
      <c r="V76" s="135">
        <f t="shared" si="28"/>
        <v>2.3090665889829722</v>
      </c>
      <c r="W76" s="135">
        <f t="shared" si="28"/>
        <v>3.0775943146782039</v>
      </c>
      <c r="X76" s="135">
        <f t="shared" si="28"/>
        <v>2.431734599809015</v>
      </c>
      <c r="Y76" s="135">
        <f t="shared" si="28"/>
        <v>2.4862147939843244</v>
      </c>
      <c r="Z76" s="135">
        <f t="shared" si="28"/>
        <v>2.5383831341188503</v>
      </c>
      <c r="AA76" s="135">
        <f t="shared" si="28"/>
        <v>2.5882284416639041</v>
      </c>
      <c r="AB76" s="135">
        <f t="shared" si="28"/>
        <v>2.6338415004635043</v>
      </c>
      <c r="AC76" s="135">
        <f t="shared" si="28"/>
        <v>2.6761716368021595</v>
      </c>
      <c r="AD76" s="135">
        <f t="shared" si="28"/>
        <v>2.716973723270697</v>
      </c>
      <c r="AE76" s="135">
        <f t="shared" si="28"/>
        <v>2.752058682655353</v>
      </c>
      <c r="AF76" s="135">
        <f t="shared" si="28"/>
        <v>2.7896879419252878</v>
      </c>
      <c r="AG76" s="135">
        <f t="shared" si="28"/>
        <v>3.7575129093325264</v>
      </c>
      <c r="AH76" s="135">
        <f t="shared" si="28"/>
        <v>2.8660522373100257</v>
      </c>
      <c r="AI76" s="135">
        <f t="shared" si="28"/>
        <v>0</v>
      </c>
      <c r="AJ76" s="135">
        <f t="shared" si="28"/>
        <v>0</v>
      </c>
      <c r="AK76" s="135">
        <f t="shared" si="28"/>
        <v>0</v>
      </c>
      <c r="AL76" s="135">
        <f t="shared" si="28"/>
        <v>0</v>
      </c>
      <c r="AM76" s="135">
        <f t="shared" si="28"/>
        <v>0</v>
      </c>
      <c r="AN76" s="135">
        <f t="shared" si="28"/>
        <v>0</v>
      </c>
      <c r="AO76" s="135">
        <f t="shared" si="28"/>
        <v>0</v>
      </c>
      <c r="AP76" s="135">
        <f t="shared" si="28"/>
        <v>0</v>
      </c>
      <c r="AQ76" s="135">
        <f t="shared" si="28"/>
        <v>0</v>
      </c>
      <c r="AR76" s="135">
        <f t="shared" si="28"/>
        <v>0</v>
      </c>
    </row>
    <row r="79" spans="1:44" ht="15.75" thickBot="1" x14ac:dyDescent="0.3">
      <c r="A79" s="2" t="s">
        <v>41</v>
      </c>
      <c r="B79" s="380"/>
      <c r="C79" s="380"/>
      <c r="D79" s="380"/>
      <c r="E79" s="380"/>
      <c r="F79" s="380"/>
      <c r="G79" s="380"/>
      <c r="H79" s="380"/>
      <c r="I79" s="380"/>
      <c r="J79" s="380"/>
      <c r="K79" s="380"/>
      <c r="L79" s="380"/>
      <c r="M79" s="380"/>
      <c r="N79" s="380"/>
      <c r="O79" s="380"/>
      <c r="P79" s="380"/>
      <c r="Q79" s="380"/>
      <c r="R79" s="380"/>
      <c r="S79" s="380"/>
      <c r="T79" s="380"/>
      <c r="U79" s="380"/>
      <c r="V79" s="380"/>
      <c r="W79" s="380"/>
      <c r="X79" s="380"/>
      <c r="Y79" s="380"/>
      <c r="Z79" s="380"/>
      <c r="AA79" s="380"/>
      <c r="AB79" s="380"/>
      <c r="AC79" s="380"/>
      <c r="AD79" s="380"/>
      <c r="AE79" s="380"/>
      <c r="AF79" s="380"/>
      <c r="AG79" s="380"/>
      <c r="AH79" s="380"/>
      <c r="AI79" s="380"/>
      <c r="AJ79" s="380"/>
      <c r="AK79" s="380"/>
      <c r="AL79" s="380"/>
      <c r="AM79" s="380"/>
      <c r="AN79" s="380"/>
      <c r="AO79" s="380"/>
      <c r="AP79" s="380"/>
      <c r="AQ79" s="380"/>
      <c r="AR79" s="380"/>
    </row>
    <row r="80" spans="1:44" ht="18" thickBot="1" x14ac:dyDescent="0.35">
      <c r="A80" s="380"/>
      <c r="B80" s="31" t="s">
        <v>33</v>
      </c>
      <c r="C80" s="32"/>
      <c r="D80" s="32" t="s">
        <v>34</v>
      </c>
      <c r="E80" s="32"/>
      <c r="F80" s="58">
        <f t="shared" ref="F80:AR80" si="29">F60</f>
        <v>2018</v>
      </c>
      <c r="G80" s="58">
        <f t="shared" si="29"/>
        <v>2019</v>
      </c>
      <c r="H80" s="58">
        <f t="shared" si="29"/>
        <v>2020</v>
      </c>
      <c r="I80" s="58">
        <f t="shared" si="29"/>
        <v>2021</v>
      </c>
      <c r="J80" s="58">
        <f t="shared" si="29"/>
        <v>2022</v>
      </c>
      <c r="K80" s="58">
        <f t="shared" si="29"/>
        <v>2023</v>
      </c>
      <c r="L80" s="58">
        <f t="shared" si="29"/>
        <v>2024</v>
      </c>
      <c r="M80" s="58">
        <f t="shared" si="29"/>
        <v>2025</v>
      </c>
      <c r="N80" s="58">
        <f t="shared" si="29"/>
        <v>2026</v>
      </c>
      <c r="O80" s="58">
        <f t="shared" si="29"/>
        <v>2027</v>
      </c>
      <c r="P80" s="58">
        <f t="shared" si="29"/>
        <v>2028</v>
      </c>
      <c r="Q80" s="58">
        <f t="shared" si="29"/>
        <v>2029</v>
      </c>
      <c r="R80" s="58">
        <f t="shared" si="29"/>
        <v>2030</v>
      </c>
      <c r="S80" s="58">
        <f t="shared" si="29"/>
        <v>2031</v>
      </c>
      <c r="T80" s="58">
        <f t="shared" si="29"/>
        <v>2032</v>
      </c>
      <c r="U80" s="58">
        <f t="shared" si="29"/>
        <v>2033</v>
      </c>
      <c r="V80" s="58">
        <f t="shared" si="29"/>
        <v>2034</v>
      </c>
      <c r="W80" s="58">
        <f t="shared" si="29"/>
        <v>2035</v>
      </c>
      <c r="X80" s="58">
        <f t="shared" si="29"/>
        <v>2036</v>
      </c>
      <c r="Y80" s="58">
        <f t="shared" si="29"/>
        <v>2037</v>
      </c>
      <c r="Z80" s="58">
        <f t="shared" si="29"/>
        <v>2038</v>
      </c>
      <c r="AA80" s="58">
        <f t="shared" si="29"/>
        <v>2039</v>
      </c>
      <c r="AB80" s="58">
        <f t="shared" si="29"/>
        <v>2040</v>
      </c>
      <c r="AC80" s="58">
        <f t="shared" si="29"/>
        <v>2041</v>
      </c>
      <c r="AD80" s="58">
        <f t="shared" si="29"/>
        <v>2042</v>
      </c>
      <c r="AE80" s="58">
        <f t="shared" si="29"/>
        <v>2043</v>
      </c>
      <c r="AF80" s="58">
        <f t="shared" si="29"/>
        <v>2044</v>
      </c>
      <c r="AG80" s="58">
        <f t="shared" si="29"/>
        <v>2045</v>
      </c>
      <c r="AH80" s="58">
        <f t="shared" si="29"/>
        <v>2046</v>
      </c>
      <c r="AI80" s="58">
        <f t="shared" si="29"/>
        <v>2047</v>
      </c>
      <c r="AJ80" s="58">
        <f t="shared" si="29"/>
        <v>2048</v>
      </c>
      <c r="AK80" s="58">
        <f t="shared" si="29"/>
        <v>2049</v>
      </c>
      <c r="AL80" s="58">
        <f t="shared" si="29"/>
        <v>2050</v>
      </c>
      <c r="AM80" s="58">
        <f t="shared" si="29"/>
        <v>2051</v>
      </c>
      <c r="AN80" s="58">
        <f t="shared" si="29"/>
        <v>2052</v>
      </c>
      <c r="AO80" s="58">
        <f t="shared" si="29"/>
        <v>2053</v>
      </c>
      <c r="AP80" s="58">
        <f t="shared" si="29"/>
        <v>2054</v>
      </c>
      <c r="AQ80" s="58">
        <f t="shared" si="29"/>
        <v>2055</v>
      </c>
      <c r="AR80" s="58">
        <f t="shared" si="29"/>
        <v>2056</v>
      </c>
    </row>
    <row r="81" spans="2:44" x14ac:dyDescent="0.2">
      <c r="B81" s="394" t="s">
        <v>12</v>
      </c>
      <c r="C81" s="380"/>
      <c r="D81" s="416">
        <f>SUM(F81:AR81)</f>
        <v>3.3937703130161587</v>
      </c>
      <c r="E81" s="416"/>
      <c r="F81" s="416">
        <f>Safety!F$81/1000000</f>
        <v>0</v>
      </c>
      <c r="G81" s="416">
        <f>Safety!G$81/1000000</f>
        <v>0</v>
      </c>
      <c r="H81" s="416">
        <f>Safety!H$81/1000000</f>
        <v>0</v>
      </c>
      <c r="I81" s="416">
        <f>Safety!I$81/1000000</f>
        <v>0</v>
      </c>
      <c r="J81" s="416">
        <f>Safety!J$81/1000000</f>
        <v>0</v>
      </c>
      <c r="K81" s="416">
        <f>Safety!K$81/1000000</f>
        <v>0</v>
      </c>
      <c r="L81" s="416">
        <f>Safety!L$81/1000000</f>
        <v>0</v>
      </c>
      <c r="M81" s="416">
        <f>Safety!M$81/1000000</f>
        <v>0</v>
      </c>
      <c r="N81" s="416">
        <f>Safety!N$81/1000000</f>
        <v>0</v>
      </c>
      <c r="O81" s="416">
        <f>Safety!O$81/1000000</f>
        <v>0.20645057517687673</v>
      </c>
      <c r="P81" s="416">
        <f>Safety!P$81/1000000</f>
        <v>0.20216845476359821</v>
      </c>
      <c r="Q81" s="416">
        <f>Safety!Q$81/1000000</f>
        <v>0.19795719555624597</v>
      </c>
      <c r="R81" s="416">
        <f>Safety!R$81/1000000</f>
        <v>0.19381640763243532</v>
      </c>
      <c r="S81" s="416">
        <f>Safety!S$81/1000000</f>
        <v>0.18974566045399183</v>
      </c>
      <c r="T81" s="416">
        <f>Safety!T$81/1000000</f>
        <v>0.1857444856619348</v>
      </c>
      <c r="U81" s="416">
        <f>Safety!U$81/1000000</f>
        <v>0.18181237974010117</v>
      </c>
      <c r="V81" s="416">
        <f>Safety!V$81/1000000</f>
        <v>0.177948806552784</v>
      </c>
      <c r="W81" s="416">
        <f>Safety!W$81/1000000</f>
        <v>0.17415319976155227</v>
      </c>
      <c r="X81" s="416">
        <f>Safety!X$81/1000000</f>
        <v>0.17042496512622465</v>
      </c>
      <c r="Y81" s="416">
        <f>Safety!Y$81/1000000</f>
        <v>0.16676348269477706</v>
      </c>
      <c r="Z81" s="416">
        <f>Safety!Z$81/1000000</f>
        <v>0.16316810888678487</v>
      </c>
      <c r="AA81" s="416">
        <f>Safety!AA$81/1000000</f>
        <v>0.15963817847481998</v>
      </c>
      <c r="AB81" s="416">
        <f>Safety!AB$81/1000000</f>
        <v>0.15617300646805862</v>
      </c>
      <c r="AC81" s="416">
        <f>Safety!AC$81/1000000</f>
        <v>0.1527718899021854</v>
      </c>
      <c r="AD81" s="416">
        <f>Safety!AD$81/1000000</f>
        <v>0.14943410953952943</v>
      </c>
      <c r="AE81" s="416">
        <f>Safety!AE$81/1000000</f>
        <v>0.1461589314832098</v>
      </c>
      <c r="AF81" s="416">
        <f>Safety!AF$81/1000000</f>
        <v>0.1429456087089265</v>
      </c>
      <c r="AG81" s="416">
        <f>Safety!AG$81/1000000</f>
        <v>0.139793382517888</v>
      </c>
      <c r="AH81" s="416">
        <f>Safety!AH$81/1000000</f>
        <v>0.13670148391423426</v>
      </c>
      <c r="AI81" s="416">
        <f>Safety!AI$81/1000000</f>
        <v>0</v>
      </c>
      <c r="AJ81" s="416">
        <f>Safety!AJ$81/1000000</f>
        <v>0</v>
      </c>
      <c r="AK81" s="416">
        <f>Safety!AK$81/1000000</f>
        <v>0</v>
      </c>
      <c r="AL81" s="416">
        <f>Safety!AL$81/1000000</f>
        <v>0</v>
      </c>
      <c r="AM81" s="416">
        <f>Safety!AM$81/1000000</f>
        <v>0</v>
      </c>
      <c r="AN81" s="416">
        <f>Safety!AN$81/1000000</f>
        <v>0</v>
      </c>
      <c r="AO81" s="416">
        <f>Safety!AO$81/1000000</f>
        <v>0</v>
      </c>
      <c r="AP81" s="416">
        <f>Safety!AP$81/1000000</f>
        <v>0</v>
      </c>
      <c r="AQ81" s="416">
        <f>Safety!AQ$81/1000000</f>
        <v>0</v>
      </c>
      <c r="AR81" s="416">
        <f>Safety!AR$81/1000000</f>
        <v>0</v>
      </c>
    </row>
    <row r="82" spans="2:44" x14ac:dyDescent="0.2">
      <c r="B82" s="388" t="s">
        <v>13</v>
      </c>
      <c r="C82" s="380"/>
      <c r="D82" s="416">
        <f>SUM(F82:AR82)</f>
        <v>24.382058165832593</v>
      </c>
      <c r="E82" s="416"/>
      <c r="F82" s="416">
        <f>'Time Savings'!F$107/1000000</f>
        <v>0</v>
      </c>
      <c r="G82" s="416">
        <f>'Time Savings'!G$107/1000000</f>
        <v>0</v>
      </c>
      <c r="H82" s="416">
        <f>'Time Savings'!H$107/1000000</f>
        <v>0</v>
      </c>
      <c r="I82" s="416">
        <f>'Time Savings'!I$107/1000000</f>
        <v>0</v>
      </c>
      <c r="J82" s="416">
        <f>'Time Savings'!J$107/1000000</f>
        <v>0</v>
      </c>
      <c r="K82" s="416">
        <f>'Time Savings'!K$107/1000000</f>
        <v>0</v>
      </c>
      <c r="L82" s="416">
        <f>'Time Savings'!L$107/1000000</f>
        <v>0</v>
      </c>
      <c r="M82" s="416">
        <f>'Time Savings'!M$107/1000000</f>
        <v>0</v>
      </c>
      <c r="N82" s="416">
        <f>'Time Savings'!N$107/1000000</f>
        <v>0</v>
      </c>
      <c r="O82" s="416">
        <f>'Time Savings'!O$107/1000000</f>
        <v>0.8004989329092479</v>
      </c>
      <c r="P82" s="416">
        <f>'Time Savings'!P$107/1000000</f>
        <v>0.86824793644309906</v>
      </c>
      <c r="Q82" s="416">
        <f>'Time Savings'!Q$107/1000000</f>
        <v>0.93119908636010285</v>
      </c>
      <c r="R82" s="416">
        <f>'Time Savings'!R$107/1000000</f>
        <v>0.98957965497457978</v>
      </c>
      <c r="S82" s="416">
        <f>'Time Savings'!S$107/1000000</f>
        <v>1.0436075850360269</v>
      </c>
      <c r="T82" s="416">
        <f>'Time Savings'!T$107/1000000</f>
        <v>1.0934918452979068</v>
      </c>
      <c r="U82" s="416">
        <f>'Time Savings'!U$107/1000000</f>
        <v>1.1394327731386726</v>
      </c>
      <c r="V82" s="416">
        <f>'Time Savings'!V$107/1000000</f>
        <v>1.1816224046922097</v>
      </c>
      <c r="W82" s="416">
        <f>'Time Savings'!W$107/1000000</f>
        <v>1.2202447929290574</v>
      </c>
      <c r="X82" s="416">
        <f>'Time Savings'!X$107/1000000</f>
        <v>1.2554763141145417</v>
      </c>
      <c r="Y82" s="416">
        <f>'Time Savings'!Y$107/1000000</f>
        <v>1.2874859630552085</v>
      </c>
      <c r="Z82" s="416">
        <f>'Time Savings'!Z$107/1000000</f>
        <v>1.3164356375307253</v>
      </c>
      <c r="AA82" s="416">
        <f>'Time Savings'!AA$107/1000000</f>
        <v>1.3424804122946639</v>
      </c>
      <c r="AB82" s="416">
        <f>'Time Savings'!AB$107/1000000</f>
        <v>1.3657688030142889</v>
      </c>
      <c r="AC82" s="416">
        <f>'Time Savings'!AC$107/1000000</f>
        <v>1.3864430205066784</v>
      </c>
      <c r="AD82" s="416">
        <f>'Time Savings'!AD$107/1000000</f>
        <v>1.4046392156160785</v>
      </c>
      <c r="AE82" s="416">
        <f>'Time Savings'!AE$107/1000000</f>
        <v>1.4204877150654387</v>
      </c>
      <c r="AF82" s="416">
        <f>'Time Savings'!AF$107/1000000</f>
        <v>1.4341132486035313</v>
      </c>
      <c r="AG82" s="416">
        <f>'Time Savings'!AG$107/1000000</f>
        <v>1.4456351677578401</v>
      </c>
      <c r="AH82" s="416">
        <f>'Time Savings'!AH$107/1000000</f>
        <v>1.455167656492699</v>
      </c>
      <c r="AI82" s="416">
        <f>'Time Savings'!AI$107/1000000</f>
        <v>0</v>
      </c>
      <c r="AJ82" s="416">
        <f>'Time Savings'!AJ$107/1000000</f>
        <v>0</v>
      </c>
      <c r="AK82" s="416">
        <f>'Time Savings'!AK$107/1000000</f>
        <v>0</v>
      </c>
      <c r="AL82" s="416">
        <f>'Time Savings'!AL$107/1000000</f>
        <v>0</v>
      </c>
      <c r="AM82" s="416">
        <f>'Time Savings'!AM$107/1000000</f>
        <v>0</v>
      </c>
      <c r="AN82" s="416">
        <f>'Time Savings'!AN$107/1000000</f>
        <v>0</v>
      </c>
      <c r="AO82" s="416">
        <f>'Time Savings'!AO$107/1000000</f>
        <v>0</v>
      </c>
      <c r="AP82" s="416">
        <f>'Time Savings'!AP$107/1000000</f>
        <v>0</v>
      </c>
      <c r="AQ82" s="416">
        <f>'Time Savings'!AQ$107/1000000</f>
        <v>0</v>
      </c>
      <c r="AR82" s="416">
        <f>'Time Savings'!AR$107/1000000</f>
        <v>0</v>
      </c>
    </row>
    <row r="83" spans="2:44" x14ac:dyDescent="0.2">
      <c r="B83" s="388" t="s">
        <v>14</v>
      </c>
      <c r="C83" s="380"/>
      <c r="D83" s="416">
        <f t="shared" ref="D83:D90" si="30">SUM(F83:AR83)</f>
        <v>7.9050022530592772</v>
      </c>
      <c r="E83" s="416"/>
      <c r="F83" s="416">
        <f>'Veh Op Costs'!F$78/1000000</f>
        <v>0</v>
      </c>
      <c r="G83" s="416">
        <f>'Veh Op Costs'!G$78/1000000</f>
        <v>0</v>
      </c>
      <c r="H83" s="416">
        <f>'Veh Op Costs'!H$78/1000000</f>
        <v>0</v>
      </c>
      <c r="I83" s="416">
        <f>'Veh Op Costs'!I$78/1000000</f>
        <v>0</v>
      </c>
      <c r="J83" s="416">
        <f>'Veh Op Costs'!J$78/1000000</f>
        <v>0</v>
      </c>
      <c r="K83" s="416">
        <f>'Veh Op Costs'!K$78/1000000</f>
        <v>0</v>
      </c>
      <c r="L83" s="416">
        <f>'Veh Op Costs'!L$78/1000000</f>
        <v>0</v>
      </c>
      <c r="M83" s="416">
        <f>'Veh Op Costs'!M$78/1000000</f>
        <v>0</v>
      </c>
      <c r="N83" s="416">
        <f>'Veh Op Costs'!N$78/1000000</f>
        <v>0</v>
      </c>
      <c r="O83" s="416">
        <f>'Veh Op Costs'!O$78/1000000</f>
        <v>0.35657899825560668</v>
      </c>
      <c r="P83" s="416">
        <f>'Veh Op Costs'!P$78/1000000</f>
        <v>0.36287221863826452</v>
      </c>
      <c r="Q83" s="416">
        <f>'Veh Op Costs'!Q$78/1000000</f>
        <v>0.36932406667070494</v>
      </c>
      <c r="R83" s="416">
        <f>'Veh Op Costs'!R$78/1000000</f>
        <v>0.37569985295975694</v>
      </c>
      <c r="S83" s="416">
        <f>'Veh Op Costs'!S$78/1000000</f>
        <v>0.37973257020046303</v>
      </c>
      <c r="T83" s="416">
        <f>'Veh Op Costs'!T$78/1000000</f>
        <v>0.38560094427655572</v>
      </c>
      <c r="U83" s="416">
        <f>'Veh Op Costs'!U$78/1000000</f>
        <v>0.38987216212379527</v>
      </c>
      <c r="V83" s="416">
        <f>'Veh Op Costs'!V$78/1000000</f>
        <v>0.39394974157769447</v>
      </c>
      <c r="W83" s="416">
        <f>'Veh Op Costs'!W$78/1000000</f>
        <v>0.39713915170671604</v>
      </c>
      <c r="X83" s="416">
        <f>'Veh Op Costs'!X$78/1000000</f>
        <v>0.40305401407490032</v>
      </c>
      <c r="Y83" s="416">
        <f>'Veh Op Costs'!Y$78/1000000</f>
        <v>0.40500565222875806</v>
      </c>
      <c r="Z83" s="416">
        <f>'Veh Op Costs'!Z$78/1000000</f>
        <v>0.40712156544794631</v>
      </c>
      <c r="AA83" s="416">
        <f>'Veh Op Costs'!AA$78/1000000</f>
        <v>0.40931007546038939</v>
      </c>
      <c r="AB83" s="416">
        <f>'Veh Op Costs'!AB$78/1000000</f>
        <v>0.40991116569167579</v>
      </c>
      <c r="AC83" s="416">
        <f>'Veh Op Costs'!AC$78/1000000</f>
        <v>0.40969158374789211</v>
      </c>
      <c r="AD83" s="416">
        <f>'Veh Op Costs'!AD$78/1000000</f>
        <v>0.410045217987416</v>
      </c>
      <c r="AE83" s="416">
        <f>'Veh Op Costs'!AE$78/1000000</f>
        <v>0.40751244497965988</v>
      </c>
      <c r="AF83" s="416">
        <f>'Veh Op Costs'!AF$78/1000000</f>
        <v>0.40872190554867754</v>
      </c>
      <c r="AG83" s="416">
        <f>'Veh Op Costs'!AG$78/1000000</f>
        <v>0.40728702860950822</v>
      </c>
      <c r="AH83" s="416">
        <f>'Veh Op Costs'!AH$78/1000000</f>
        <v>0.41657189287289598</v>
      </c>
      <c r="AI83" s="416">
        <f>'Veh Op Costs'!AI$78/1000000</f>
        <v>0</v>
      </c>
      <c r="AJ83" s="416">
        <f>'Veh Op Costs'!AJ$78/1000000</f>
        <v>0</v>
      </c>
      <c r="AK83" s="416">
        <f>'Veh Op Costs'!AK$78/1000000</f>
        <v>0</v>
      </c>
      <c r="AL83" s="416">
        <f>'Veh Op Costs'!AL$78/1000000</f>
        <v>0</v>
      </c>
      <c r="AM83" s="416">
        <f>'Veh Op Costs'!AM$78/1000000</f>
        <v>0</v>
      </c>
      <c r="AN83" s="416">
        <f>'Veh Op Costs'!AN$78/1000000</f>
        <v>0</v>
      </c>
      <c r="AO83" s="416">
        <f>'Veh Op Costs'!AO$78/1000000</f>
        <v>0</v>
      </c>
      <c r="AP83" s="416">
        <f>'Veh Op Costs'!AP$78/1000000</f>
        <v>0</v>
      </c>
      <c r="AQ83" s="416">
        <f>'Veh Op Costs'!AQ$78/1000000</f>
        <v>0</v>
      </c>
      <c r="AR83" s="416">
        <f>'Veh Op Costs'!AR$78/1000000</f>
        <v>0</v>
      </c>
    </row>
    <row r="84" spans="2:44" x14ac:dyDescent="0.2">
      <c r="B84" s="388" t="s">
        <v>35</v>
      </c>
      <c r="C84" s="380"/>
      <c r="D84" s="416">
        <f t="shared" si="30"/>
        <v>0.20336619250401633</v>
      </c>
      <c r="E84" s="416"/>
      <c r="F84" s="416">
        <f>Emissions!F$100/1000000</f>
        <v>0</v>
      </c>
      <c r="G84" s="416">
        <f>Emissions!G$100/1000000</f>
        <v>0</v>
      </c>
      <c r="H84" s="416">
        <f>Emissions!H$100/1000000</f>
        <v>0</v>
      </c>
      <c r="I84" s="416">
        <f>Emissions!I$100/1000000</f>
        <v>0</v>
      </c>
      <c r="J84" s="416">
        <f>Emissions!J$100/1000000</f>
        <v>0</v>
      </c>
      <c r="K84" s="416">
        <f>Emissions!K$100/1000000</f>
        <v>0</v>
      </c>
      <c r="L84" s="416">
        <f>Emissions!L$100/1000000</f>
        <v>0</v>
      </c>
      <c r="M84" s="416">
        <f>Emissions!M$100/1000000</f>
        <v>0</v>
      </c>
      <c r="N84" s="416">
        <f>Emissions!N$100/1000000</f>
        <v>0</v>
      </c>
      <c r="O84" s="416">
        <f>Emissions!O$100/1000000</f>
        <v>6.7980636457353914E-3</v>
      </c>
      <c r="P84" s="416">
        <f>Emissions!P$100/1000000</f>
        <v>7.3687473606884176E-3</v>
      </c>
      <c r="Q84" s="416">
        <f>Emissions!Q$100/1000000</f>
        <v>7.9510865509273294E-3</v>
      </c>
      <c r="R84" s="416">
        <f>Emissions!R$100/1000000</f>
        <v>8.4822662207222552E-3</v>
      </c>
      <c r="S84" s="416">
        <f>Emissions!S$100/1000000</f>
        <v>8.8795473391130864E-3</v>
      </c>
      <c r="T84" s="416">
        <f>Emissions!T$100/1000000</f>
        <v>9.2451855664827526E-3</v>
      </c>
      <c r="U84" s="416">
        <f>Emissions!U$100/1000000</f>
        <v>9.5854357302767347E-3</v>
      </c>
      <c r="V84" s="416">
        <f>Emissions!V$100/1000000</f>
        <v>9.8992459466281987E-3</v>
      </c>
      <c r="W84" s="416">
        <f>Emissions!W$100/1000000</f>
        <v>1.0185060833015933E-2</v>
      </c>
      <c r="X84" s="416">
        <f>Emissions!X$100/1000000</f>
        <v>1.0449643555823859E-2</v>
      </c>
      <c r="Y84" s="416">
        <f>Emissions!Y$100/1000000</f>
        <v>1.0691439581928516E-2</v>
      </c>
      <c r="Z84" s="416">
        <f>Emissions!Z$100/1000000</f>
        <v>1.0908459533710856E-2</v>
      </c>
      <c r="AA84" s="416">
        <f>Emissions!AA$100/1000000</f>
        <v>1.1107899383304186E-2</v>
      </c>
      <c r="AB84" s="416">
        <f>Emissions!AB$100/1000000</f>
        <v>1.1287767212366236E-2</v>
      </c>
      <c r="AC84" s="416">
        <f>Emissions!AC$100/1000000</f>
        <v>1.1449044294251767E-2</v>
      </c>
      <c r="AD84" s="416">
        <f>Emissions!AD$100/1000000</f>
        <v>1.1592670437929812E-2</v>
      </c>
      <c r="AE84" s="416">
        <f>Emissions!AE$100/1000000</f>
        <v>1.1719545603659684E-2</v>
      </c>
      <c r="AF84" s="416">
        <f>Emissions!AF$100/1000000</f>
        <v>1.1830531458733438E-2</v>
      </c>
      <c r="AG84" s="416">
        <f>Emissions!AG$100/1000000</f>
        <v>1.192645287543413E-2</v>
      </c>
      <c r="AH84" s="416">
        <f>Emissions!AH$100/1000000</f>
        <v>1.2008099373283813E-2</v>
      </c>
      <c r="AI84" s="416">
        <f>Emissions!AI$100/1000000</f>
        <v>0</v>
      </c>
      <c r="AJ84" s="416">
        <f>Emissions!AJ$100/1000000</f>
        <v>0</v>
      </c>
      <c r="AK84" s="416">
        <f>Emissions!AK$100/1000000</f>
        <v>0</v>
      </c>
      <c r="AL84" s="416">
        <f>Emissions!AL$100/1000000</f>
        <v>0</v>
      </c>
      <c r="AM84" s="416">
        <f>Emissions!AM$100/1000000</f>
        <v>0</v>
      </c>
      <c r="AN84" s="416">
        <f>Emissions!AN$100/1000000</f>
        <v>0</v>
      </c>
      <c r="AO84" s="416">
        <f>Emissions!AO$100/1000000</f>
        <v>0</v>
      </c>
      <c r="AP84" s="416">
        <f>Emissions!AP$100/1000000</f>
        <v>0</v>
      </c>
      <c r="AQ84" s="416">
        <f>Emissions!AQ$100/1000000</f>
        <v>0</v>
      </c>
      <c r="AR84" s="416">
        <f>Emissions!AR$100/1000000</f>
        <v>0</v>
      </c>
    </row>
    <row r="85" spans="2:44" x14ac:dyDescent="0.2">
      <c r="B85" s="388" t="s">
        <v>36</v>
      </c>
      <c r="C85" s="380"/>
      <c r="D85" s="416">
        <f t="shared" si="30"/>
        <v>3.5081118678618197</v>
      </c>
      <c r="E85" s="416"/>
      <c r="F85" s="416">
        <f>Pedestrian!F$60/1000000</f>
        <v>0</v>
      </c>
      <c r="G85" s="416">
        <f>Pedestrian!G$60/1000000</f>
        <v>0</v>
      </c>
      <c r="H85" s="416">
        <f>Pedestrian!H$60/1000000</f>
        <v>0</v>
      </c>
      <c r="I85" s="416">
        <f>Pedestrian!I$60/1000000</f>
        <v>0</v>
      </c>
      <c r="J85" s="416">
        <f>Pedestrian!J$60/1000000</f>
        <v>0</v>
      </c>
      <c r="K85" s="416">
        <f>Pedestrian!K$60/1000000</f>
        <v>0</v>
      </c>
      <c r="L85" s="416">
        <f>Pedestrian!L$60/1000000</f>
        <v>0</v>
      </c>
      <c r="M85" s="416">
        <f>Pedestrian!M$60/1000000</f>
        <v>0</v>
      </c>
      <c r="N85" s="416">
        <f>Pedestrian!N$60/1000000</f>
        <v>0</v>
      </c>
      <c r="O85" s="416">
        <f>Pedestrian!O$60/1000000</f>
        <v>0.16281013888524559</v>
      </c>
      <c r="P85" s="416">
        <f>Pedestrian!P$60/1000000</f>
        <v>0.18802306821950787</v>
      </c>
      <c r="Q85" s="416">
        <f>Pedestrian!Q$60/1000000</f>
        <v>0.2121114636135166</v>
      </c>
      <c r="R85" s="416">
        <f>Pedestrian!R$60/1000000</f>
        <v>0.20728922906036182</v>
      </c>
      <c r="S85" s="416">
        <f>Pedestrian!S$60/1000000</f>
        <v>0.20256791873042154</v>
      </c>
      <c r="T85" s="416">
        <f>Pedestrian!T$60/1000000</f>
        <v>0.19794575608212145</v>
      </c>
      <c r="U85" s="416">
        <f>Pedestrian!U$60/1000000</f>
        <v>0.19342098182941622</v>
      </c>
      <c r="V85" s="416">
        <f>Pedestrian!V$60/1000000</f>
        <v>0.18899185446889893</v>
      </c>
      <c r="W85" s="416">
        <f>Pedestrian!W$60/1000000</f>
        <v>0.18465665076063867</v>
      </c>
      <c r="X85" s="416">
        <f>Pedestrian!X$60/1000000</f>
        <v>0.18041366616502674</v>
      </c>
      <c r="Y85" s="416">
        <f>Pedestrian!Y$60/1000000</f>
        <v>0.17626121523781779</v>
      </c>
      <c r="Z85" s="416">
        <f>Pedestrian!Z$60/1000000</f>
        <v>0.17219763198546006</v>
      </c>
      <c r="AA85" s="416">
        <f>Pedestrian!AA$60/1000000</f>
        <v>0.16822127018272257</v>
      </c>
      <c r="AB85" s="416">
        <f>Pedestrian!AB$60/1000000</f>
        <v>0.16433050365454241</v>
      </c>
      <c r="AC85" s="416">
        <f>Pedestrian!AC$60/1000000</f>
        <v>0.16052372652393257</v>
      </c>
      <c r="AD85" s="416">
        <f>Pedestrian!AD$60/1000000</f>
        <v>0.1567993534277172</v>
      </c>
      <c r="AE85" s="416">
        <f>Pedestrian!AE$60/1000000</f>
        <v>0.15315581970178091</v>
      </c>
      <c r="AF85" s="416">
        <f>Pedestrian!AF$60/1000000</f>
        <v>0.14959158153745128</v>
      </c>
      <c r="AG85" s="416">
        <f>Pedestrian!AG$60/1000000</f>
        <v>0.14610511611056187</v>
      </c>
      <c r="AH85" s="416">
        <f>Pedestrian!AH$60/1000000</f>
        <v>0.14269492168467773</v>
      </c>
      <c r="AI85" s="416">
        <f>Pedestrian!AI$60/1000000</f>
        <v>0</v>
      </c>
      <c r="AJ85" s="416">
        <f>Pedestrian!AJ$60/1000000</f>
        <v>0</v>
      </c>
      <c r="AK85" s="416">
        <f>Pedestrian!AK$60/1000000</f>
        <v>0</v>
      </c>
      <c r="AL85" s="416">
        <f>Pedestrian!AL$60/1000000</f>
        <v>0</v>
      </c>
      <c r="AM85" s="416">
        <f>Pedestrian!AM$60/1000000</f>
        <v>0</v>
      </c>
      <c r="AN85" s="416">
        <f>Pedestrian!AN$60/1000000</f>
        <v>0</v>
      </c>
      <c r="AO85" s="416">
        <f>Pedestrian!AO$60/1000000</f>
        <v>0</v>
      </c>
      <c r="AP85" s="416">
        <f>Pedestrian!AP$60/1000000</f>
        <v>0</v>
      </c>
      <c r="AQ85" s="416">
        <f>Pedestrian!AQ$60/1000000</f>
        <v>0</v>
      </c>
      <c r="AR85" s="416">
        <f>Pedestrian!AR$60/1000000</f>
        <v>0</v>
      </c>
    </row>
    <row r="86" spans="2:44" x14ac:dyDescent="0.2">
      <c r="B86" s="388" t="s">
        <v>17</v>
      </c>
      <c r="C86" s="380"/>
      <c r="D86" s="416">
        <f t="shared" si="30"/>
        <v>1.7934799803832866</v>
      </c>
      <c r="E86" s="416"/>
      <c r="F86" s="416">
        <f>'Induced Peds'!F$43/1000000</f>
        <v>0</v>
      </c>
      <c r="G86" s="416">
        <f>'Induced Peds'!G$43/1000000</f>
        <v>0</v>
      </c>
      <c r="H86" s="416">
        <f>'Induced Peds'!H$43/1000000</f>
        <v>0</v>
      </c>
      <c r="I86" s="416">
        <f>'Induced Peds'!I$43/1000000</f>
        <v>0</v>
      </c>
      <c r="J86" s="416">
        <f>'Induced Peds'!J$43/1000000</f>
        <v>0</v>
      </c>
      <c r="K86" s="416">
        <f>'Induced Peds'!K$43/1000000</f>
        <v>0</v>
      </c>
      <c r="L86" s="416">
        <f>'Induced Peds'!L$43/1000000</f>
        <v>0</v>
      </c>
      <c r="M86" s="416">
        <f>'Induced Peds'!M$43/1000000</f>
        <v>0</v>
      </c>
      <c r="N86" s="416">
        <f>'Induced Peds'!N$43/1000000</f>
        <v>0</v>
      </c>
      <c r="O86" s="416">
        <f>'Induced Peds'!O$43/1000000</f>
        <v>5.7139605056691217E-2</v>
      </c>
      <c r="P86" s="416">
        <f>'Induced Peds'!P$43/1000000</f>
        <v>8.3931655193136501E-2</v>
      </c>
      <c r="Q86" s="416">
        <f>'Induced Peds'!Q$43/1000000</f>
        <v>0.10957776177201936</v>
      </c>
      <c r="R86" s="416">
        <f>'Induced Peds'!R$43/1000000</f>
        <v>0.10728565881820248</v>
      </c>
      <c r="S86" s="416">
        <f>'Induced Peds'!S$43/1000000</f>
        <v>0.10503232640813173</v>
      </c>
      <c r="T86" s="416">
        <f>'Induced Peds'!T$43/1000000</f>
        <v>0.10281750528510938</v>
      </c>
      <c r="U86" s="416">
        <f>'Induced Peds'!U$43/1000000</f>
        <v>0.10064091673143589</v>
      </c>
      <c r="V86" s="416">
        <f>'Induced Peds'!V$43/1000000</f>
        <v>9.8502263973101009E-2</v>
      </c>
      <c r="W86" s="416">
        <f>'Induced Peds'!W$43/1000000</f>
        <v>9.6401233517596968E-2</v>
      </c>
      <c r="X86" s="416">
        <f>'Induced Peds'!X$43/1000000</f>
        <v>9.4337496427605458E-2</v>
      </c>
      <c r="Y86" s="416">
        <f>'Induced Peds'!Y$43/1000000</f>
        <v>9.231070953320536E-2</v>
      </c>
      <c r="Z86" s="416">
        <f>'Induced Peds'!Z$43/1000000</f>
        <v>9.0320516585146587E-2</v>
      </c>
      <c r="AA86" s="416">
        <f>'Induced Peds'!AA$43/1000000</f>
        <v>8.836654935163836E-2</v>
      </c>
      <c r="AB86" s="416">
        <f>'Induced Peds'!AB$43/1000000</f>
        <v>8.6448428661006133E-2</v>
      </c>
      <c r="AC86" s="416">
        <f>'Induced Peds'!AC$43/1000000</f>
        <v>8.4565765392480327E-2</v>
      </c>
      <c r="AD86" s="416">
        <f>'Induced Peds'!AD$43/1000000</f>
        <v>8.2718161417294073E-2</v>
      </c>
      <c r="AE86" s="416">
        <f>'Induced Peds'!AE$43/1000000</f>
        <v>8.0905210492181773E-2</v>
      </c>
      <c r="AF86" s="416">
        <f>'Induced Peds'!AF$43/1000000</f>
        <v>7.912649910729061E-2</v>
      </c>
      <c r="AG86" s="416">
        <f>'Induced Peds'!AG$43/1000000</f>
        <v>7.7381607290438206E-2</v>
      </c>
      <c r="AH86" s="416">
        <f>'Induced Peds'!AH$43/1000000</f>
        <v>7.567010936957512E-2</v>
      </c>
      <c r="AI86" s="416">
        <f>'Induced Peds'!AI$43/1000000</f>
        <v>0</v>
      </c>
      <c r="AJ86" s="416">
        <f>'Induced Peds'!AJ$43/1000000</f>
        <v>0</v>
      </c>
      <c r="AK86" s="416">
        <f>'Induced Peds'!AK$43/1000000</f>
        <v>0</v>
      </c>
      <c r="AL86" s="416">
        <f>'Induced Peds'!AL$43/1000000</f>
        <v>0</v>
      </c>
      <c r="AM86" s="416">
        <f>'Induced Peds'!AM$43/1000000</f>
        <v>0</v>
      </c>
      <c r="AN86" s="416">
        <f>'Induced Peds'!AN$43/1000000</f>
        <v>0</v>
      </c>
      <c r="AO86" s="416">
        <f>'Induced Peds'!AO$43/1000000</f>
        <v>0</v>
      </c>
      <c r="AP86" s="416">
        <f>'Induced Peds'!AP$43/1000000</f>
        <v>0</v>
      </c>
      <c r="AQ86" s="416">
        <f>'Induced Peds'!AQ$43/1000000</f>
        <v>0</v>
      </c>
      <c r="AR86" s="416">
        <f>'Induced Peds'!AR$43/1000000</f>
        <v>0</v>
      </c>
    </row>
    <row r="87" spans="2:44" x14ac:dyDescent="0.2">
      <c r="B87" s="397" t="s">
        <v>18</v>
      </c>
      <c r="C87" s="380"/>
      <c r="D87" s="416">
        <f t="shared" si="30"/>
        <v>2.3220171476386497E-2</v>
      </c>
      <c r="E87" s="416"/>
      <c r="F87" s="416">
        <f>'Bridge Hits'!F$47/1000000</f>
        <v>0</v>
      </c>
      <c r="G87" s="416">
        <f>'Bridge Hits'!G$47/1000000</f>
        <v>0</v>
      </c>
      <c r="H87" s="416">
        <f>'Bridge Hits'!H$47/1000000</f>
        <v>0</v>
      </c>
      <c r="I87" s="416">
        <f>'Bridge Hits'!I$47/1000000</f>
        <v>0</v>
      </c>
      <c r="J87" s="416">
        <f>'Bridge Hits'!J$47/1000000</f>
        <v>0</v>
      </c>
      <c r="K87" s="416">
        <f>'Bridge Hits'!K$47/1000000</f>
        <v>0</v>
      </c>
      <c r="L87" s="416">
        <f>'Bridge Hits'!L$47/1000000</f>
        <v>0</v>
      </c>
      <c r="M87" s="416">
        <f>'Bridge Hits'!M$47/1000000</f>
        <v>0</v>
      </c>
      <c r="N87" s="416">
        <f>'Bridge Hits'!N$47/1000000</f>
        <v>0</v>
      </c>
      <c r="O87" s="416">
        <f>'Bridge Hits'!O$47/1000000</f>
        <v>1.5278621546086833E-3</v>
      </c>
      <c r="P87" s="416">
        <f>'Bridge Hits'!P$47/1000000</f>
        <v>1.4819225553915456E-3</v>
      </c>
      <c r="Q87" s="416">
        <f>'Bridge Hits'!Q$47/1000000</f>
        <v>1.4373642632313731E-3</v>
      </c>
      <c r="R87" s="416">
        <f>'Bridge Hits'!R$47/1000000</f>
        <v>1.3941457451322728E-3</v>
      </c>
      <c r="S87" s="416">
        <f>'Bridge Hits'!S$47/1000000</f>
        <v>1.352226716908121E-3</v>
      </c>
      <c r="T87" s="416">
        <f>'Bridge Hits'!T$47/1000000</f>
        <v>1.3115681056334832E-3</v>
      </c>
      <c r="U87" s="416">
        <f>'Bridge Hits'!U$47/1000000</f>
        <v>1.2721320132235529E-3</v>
      </c>
      <c r="V87" s="416">
        <f>'Bridge Hits'!V$47/1000000</f>
        <v>1.2338816811091689E-3</v>
      </c>
      <c r="W87" s="416">
        <f>'Bridge Hits'!W$47/1000000</f>
        <v>1.1967814559739757E-3</v>
      </c>
      <c r="X87" s="416">
        <f>'Bridge Hits'!X$47/1000000</f>
        <v>1.1607967565218E-3</v>
      </c>
      <c r="Y87" s="416">
        <f>'Bridge Hits'!Y$47/1000000</f>
        <v>1.1258940412432591E-3</v>
      </c>
      <c r="Z87" s="416">
        <f>'Bridge Hits'!Z$47/1000000</f>
        <v>1.0920407771515608E-3</v>
      </c>
      <c r="AA87" s="416">
        <f>'Bridge Hits'!AA$47/1000000</f>
        <v>1.0592054094583519E-3</v>
      </c>
      <c r="AB87" s="416">
        <f>'Bridge Hits'!AB$47/1000000</f>
        <v>1.0273573321613499E-3</v>
      </c>
      <c r="AC87" s="416">
        <f>'Bridge Hits'!AC$47/1000000</f>
        <v>9.964668595163434E-4</v>
      </c>
      <c r="AD87" s="416">
        <f>'Bridge Hits'!AD$47/1000000</f>
        <v>9.6650519836696748E-4</v>
      </c>
      <c r="AE87" s="416">
        <f>'Bridge Hits'!AE$47/1000000</f>
        <v>9.3744442130646709E-4</v>
      </c>
      <c r="AF87" s="416">
        <f>'Bridge Hits'!AF$47/1000000</f>
        <v>9.0925744064642789E-4</v>
      </c>
      <c r="AG87" s="416">
        <f>'Bridge Hits'!AG$47/1000000</f>
        <v>8.8191798316821337E-4</v>
      </c>
      <c r="AH87" s="416">
        <f>'Bridge Hits'!AH$47/1000000</f>
        <v>8.5540056563357262E-4</v>
      </c>
      <c r="AI87" s="416">
        <f>'Bridge Hits'!AI$47/1000000</f>
        <v>0</v>
      </c>
      <c r="AJ87" s="416">
        <f>'Bridge Hits'!AJ$47/1000000</f>
        <v>0</v>
      </c>
      <c r="AK87" s="416">
        <f>'Bridge Hits'!AK$47/1000000</f>
        <v>0</v>
      </c>
      <c r="AL87" s="416">
        <f>'Bridge Hits'!AL$47/1000000</f>
        <v>0</v>
      </c>
      <c r="AM87" s="416">
        <f>'Bridge Hits'!AM$47/1000000</f>
        <v>0</v>
      </c>
      <c r="AN87" s="416">
        <f>'Bridge Hits'!AN$47/1000000</f>
        <v>0</v>
      </c>
      <c r="AO87" s="416">
        <f>'Bridge Hits'!AO$47/1000000</f>
        <v>0</v>
      </c>
      <c r="AP87" s="416">
        <f>'Bridge Hits'!AP$47/1000000</f>
        <v>0</v>
      </c>
      <c r="AQ87" s="416">
        <f>'Bridge Hits'!AQ$47/1000000</f>
        <v>0</v>
      </c>
      <c r="AR87" s="416">
        <f>'Bridge Hits'!AR$47/1000000</f>
        <v>0</v>
      </c>
    </row>
    <row r="88" spans="2:44" x14ac:dyDescent="0.2">
      <c r="B88" s="388" t="s">
        <v>37</v>
      </c>
      <c r="C88" s="380"/>
      <c r="D88" s="416">
        <f>SUM(F88:AR88)</f>
        <v>2.2031627546660202</v>
      </c>
      <c r="E88" s="416"/>
      <c r="F88" s="416">
        <f>-'Project Costs'!F$73/1000000</f>
        <v>0</v>
      </c>
      <c r="G88" s="416">
        <f>-'Project Costs'!G$73/1000000</f>
        <v>0</v>
      </c>
      <c r="H88" s="416">
        <f>-'Project Costs'!H$73/1000000</f>
        <v>0</v>
      </c>
      <c r="I88" s="416">
        <f>-'Project Costs'!I$73/1000000</f>
        <v>0</v>
      </c>
      <c r="J88" s="416">
        <f>-'Project Costs'!J$73/1000000</f>
        <v>0</v>
      </c>
      <c r="K88" s="416">
        <f>-'Project Costs'!K$73/1000000</f>
        <v>0</v>
      </c>
      <c r="L88" s="416">
        <f>-'Project Costs'!L$73/1000000</f>
        <v>0</v>
      </c>
      <c r="M88" s="416">
        <f>-'Project Costs'!M$73/1000000</f>
        <v>0</v>
      </c>
      <c r="N88" s="416">
        <f>-'Project Costs'!N$73/1000000</f>
        <v>0</v>
      </c>
      <c r="O88" s="416">
        <f>-'Project Costs'!O$73/1000000</f>
        <v>-0.27202333436750414</v>
      </c>
      <c r="P88" s="416">
        <f>-'Project Costs'!P$73/1000000</f>
        <v>0</v>
      </c>
      <c r="Q88" s="416">
        <f>-'Project Costs'!Q$73/1000000</f>
        <v>0</v>
      </c>
      <c r="R88" s="416">
        <f>-'Project Costs'!R$73/1000000</f>
        <v>1.1432130069408488</v>
      </c>
      <c r="S88" s="416">
        <f>-'Project Costs'!S$73/1000000</f>
        <v>0</v>
      </c>
      <c r="T88" s="416">
        <f>-'Project Costs'!T$73/1000000</f>
        <v>0</v>
      </c>
      <c r="U88" s="416">
        <f>-'Project Costs'!U$73/1000000</f>
        <v>0</v>
      </c>
      <c r="V88" s="416">
        <f>-'Project Costs'!V$73/1000000</f>
        <v>0</v>
      </c>
      <c r="W88" s="416">
        <f>-'Project Costs'!W$73/1000000</f>
        <v>0.6087917985481166</v>
      </c>
      <c r="X88" s="416">
        <f>-'Project Costs'!X$73/1000000</f>
        <v>0</v>
      </c>
      <c r="Y88" s="416">
        <f>-'Project Costs'!Y$73/1000000</f>
        <v>0</v>
      </c>
      <c r="Z88" s="416">
        <f>-'Project Costs'!Z$73/1000000</f>
        <v>0</v>
      </c>
      <c r="AA88" s="416">
        <f>-'Project Costs'!AA$73/1000000</f>
        <v>0</v>
      </c>
      <c r="AB88" s="416">
        <f>-'Project Costs'!AB$73/1000000</f>
        <v>0</v>
      </c>
      <c r="AC88" s="416">
        <f>-'Project Costs'!AC$73/1000000</f>
        <v>0</v>
      </c>
      <c r="AD88" s="416">
        <f>-'Project Costs'!AD$73/1000000</f>
        <v>0</v>
      </c>
      <c r="AE88" s="416">
        <f>-'Project Costs'!AE$73/1000000</f>
        <v>0</v>
      </c>
      <c r="AF88" s="416">
        <f>-'Project Costs'!AF$73/1000000</f>
        <v>0</v>
      </c>
      <c r="AG88" s="416">
        <f>-'Project Costs'!AG$73/1000000</f>
        <v>0.72318128354455868</v>
      </c>
      <c r="AH88" s="416">
        <f>-'Project Costs'!AH$73/1000000</f>
        <v>0</v>
      </c>
      <c r="AI88" s="416">
        <f>-'Project Costs'!AI$73/1000000</f>
        <v>0</v>
      </c>
      <c r="AJ88" s="416">
        <f>-'Project Costs'!AJ$73/1000000</f>
        <v>0</v>
      </c>
      <c r="AK88" s="416">
        <f>-'Project Costs'!AK$73/1000000</f>
        <v>0</v>
      </c>
      <c r="AL88" s="416">
        <f>-'Project Costs'!AL$73/1000000</f>
        <v>0</v>
      </c>
      <c r="AM88" s="416">
        <f>-'Project Costs'!AM$73/1000000</f>
        <v>0</v>
      </c>
      <c r="AN88" s="416">
        <f>-'Project Costs'!AN$73/1000000</f>
        <v>0</v>
      </c>
      <c r="AO88" s="416">
        <f>-'Project Costs'!AO$73/1000000</f>
        <v>0</v>
      </c>
      <c r="AP88" s="416">
        <f>-'Project Costs'!AP$73/1000000</f>
        <v>0</v>
      </c>
      <c r="AQ88" s="416">
        <f>-'Project Costs'!AQ$73/1000000</f>
        <v>0</v>
      </c>
      <c r="AR88" s="416">
        <f>-'Project Costs'!AR$73/1000000</f>
        <v>0</v>
      </c>
    </row>
    <row r="89" spans="2:44" x14ac:dyDescent="0.2">
      <c r="B89" s="397" t="s">
        <v>20</v>
      </c>
      <c r="C89" s="380"/>
      <c r="D89" s="416">
        <f t="shared" si="30"/>
        <v>0</v>
      </c>
      <c r="E89" s="416"/>
      <c r="F89" s="416">
        <f>'Residual Value'!F$56/1000000</f>
        <v>0</v>
      </c>
      <c r="G89" s="416">
        <f>'Residual Value'!G$56/1000000</f>
        <v>0</v>
      </c>
      <c r="H89" s="416">
        <f>'Residual Value'!H$56/1000000</f>
        <v>0</v>
      </c>
      <c r="I89" s="416">
        <f>'Residual Value'!I$56/1000000</f>
        <v>0</v>
      </c>
      <c r="J89" s="416">
        <f>'Residual Value'!J$56/1000000</f>
        <v>0</v>
      </c>
      <c r="K89" s="416">
        <f>'Residual Value'!K$56/1000000</f>
        <v>0</v>
      </c>
      <c r="L89" s="416">
        <f>'Residual Value'!L$56/1000000</f>
        <v>0</v>
      </c>
      <c r="M89" s="416">
        <f>'Residual Value'!M$56/1000000</f>
        <v>0</v>
      </c>
      <c r="N89" s="416">
        <f>'Residual Value'!N$56/1000000</f>
        <v>0</v>
      </c>
      <c r="O89" s="416">
        <f>'Residual Value'!O$56/1000000</f>
        <v>0</v>
      </c>
      <c r="P89" s="416">
        <f>'Residual Value'!P$56/1000000</f>
        <v>0</v>
      </c>
      <c r="Q89" s="416">
        <f>'Residual Value'!Q$56/1000000</f>
        <v>0</v>
      </c>
      <c r="R89" s="416">
        <f>'Residual Value'!R$56/1000000</f>
        <v>0</v>
      </c>
      <c r="S89" s="416">
        <f>'Residual Value'!S$56/1000000</f>
        <v>0</v>
      </c>
      <c r="T89" s="416">
        <f>'Residual Value'!T$56/1000000</f>
        <v>0</v>
      </c>
      <c r="U89" s="416">
        <f>'Residual Value'!U$56/1000000</f>
        <v>0</v>
      </c>
      <c r="V89" s="416">
        <f>'Residual Value'!V$56/1000000</f>
        <v>0</v>
      </c>
      <c r="W89" s="416">
        <f>'Residual Value'!W$56/1000000</f>
        <v>0</v>
      </c>
      <c r="X89" s="416">
        <f>'Residual Value'!X$56/1000000</f>
        <v>0</v>
      </c>
      <c r="Y89" s="416">
        <f>'Residual Value'!Y$56/1000000</f>
        <v>0</v>
      </c>
      <c r="Z89" s="416">
        <f>'Residual Value'!Z$56/1000000</f>
        <v>0</v>
      </c>
      <c r="AA89" s="416">
        <f>'Residual Value'!AA$56/1000000</f>
        <v>0</v>
      </c>
      <c r="AB89" s="416">
        <f>'Residual Value'!AB$56/1000000</f>
        <v>0</v>
      </c>
      <c r="AC89" s="416">
        <f>'Residual Value'!AC$56/1000000</f>
        <v>0</v>
      </c>
      <c r="AD89" s="416">
        <f>'Residual Value'!AD$56/1000000</f>
        <v>0</v>
      </c>
      <c r="AE89" s="416">
        <f>'Residual Value'!AE$56/1000000</f>
        <v>0</v>
      </c>
      <c r="AF89" s="416">
        <f>'Residual Value'!AF$56/1000000</f>
        <v>0</v>
      </c>
      <c r="AG89" s="416">
        <f>'Residual Value'!AG$56/1000000</f>
        <v>0</v>
      </c>
      <c r="AH89" s="416">
        <f>'Residual Value'!AH$56/1000000</f>
        <v>0</v>
      </c>
      <c r="AI89" s="416">
        <f>'Residual Value'!AI$56/1000000</f>
        <v>0</v>
      </c>
      <c r="AJ89" s="416">
        <f>'Residual Value'!AJ$56/1000000</f>
        <v>0</v>
      </c>
      <c r="AK89" s="416">
        <f>'Residual Value'!AK$56/1000000</f>
        <v>0</v>
      </c>
      <c r="AL89" s="416">
        <f>'Residual Value'!AL$56/1000000</f>
        <v>0</v>
      </c>
      <c r="AM89" s="416">
        <f>'Residual Value'!AM$56/1000000</f>
        <v>0</v>
      </c>
      <c r="AN89" s="416">
        <f>'Residual Value'!AN$56/1000000</f>
        <v>0</v>
      </c>
      <c r="AO89" s="416">
        <f>'Residual Value'!AO$56/1000000</f>
        <v>0</v>
      </c>
      <c r="AP89" s="416">
        <f>'Residual Value'!AP$56/1000000</f>
        <v>0</v>
      </c>
      <c r="AQ89" s="416">
        <f>'Residual Value'!AQ$56/1000000</f>
        <v>0</v>
      </c>
      <c r="AR89" s="416">
        <f>'Residual Value'!AR$56/1000000</f>
        <v>0</v>
      </c>
    </row>
    <row r="90" spans="2:44" ht="15.75" thickBot="1" x14ac:dyDescent="0.3">
      <c r="B90" s="124" t="s">
        <v>26</v>
      </c>
      <c r="C90" s="126"/>
      <c r="D90" s="133">
        <f t="shared" si="30"/>
        <v>43.412171698799561</v>
      </c>
      <c r="E90" s="133"/>
      <c r="F90" s="133">
        <f t="shared" ref="F90:AR90" si="31">SUM(F81:F89)</f>
        <v>0</v>
      </c>
      <c r="G90" s="133">
        <f t="shared" si="31"/>
        <v>0</v>
      </c>
      <c r="H90" s="133">
        <f t="shared" si="31"/>
        <v>0</v>
      </c>
      <c r="I90" s="133">
        <f t="shared" si="31"/>
        <v>0</v>
      </c>
      <c r="J90" s="133">
        <f t="shared" si="31"/>
        <v>0</v>
      </c>
      <c r="K90" s="133">
        <f t="shared" si="31"/>
        <v>0</v>
      </c>
      <c r="L90" s="133">
        <f t="shared" si="31"/>
        <v>0</v>
      </c>
      <c r="M90" s="133">
        <f t="shared" si="31"/>
        <v>0</v>
      </c>
      <c r="N90" s="133">
        <f t="shared" si="31"/>
        <v>0</v>
      </c>
      <c r="O90" s="133">
        <f t="shared" si="31"/>
        <v>1.3197808417165082</v>
      </c>
      <c r="P90" s="133">
        <f t="shared" si="31"/>
        <v>1.7140940031736862</v>
      </c>
      <c r="Q90" s="133">
        <f t="shared" si="31"/>
        <v>1.8295580247867482</v>
      </c>
      <c r="R90" s="133">
        <f t="shared" si="31"/>
        <v>3.0267602223520393</v>
      </c>
      <c r="S90" s="133">
        <f t="shared" si="31"/>
        <v>1.930917834885056</v>
      </c>
      <c r="T90" s="133">
        <f t="shared" si="31"/>
        <v>1.9761572902757445</v>
      </c>
      <c r="U90" s="133">
        <f t="shared" si="31"/>
        <v>2.0160367813069215</v>
      </c>
      <c r="V90" s="133">
        <f t="shared" si="31"/>
        <v>2.0521481988924255</v>
      </c>
      <c r="W90" s="133">
        <f t="shared" si="31"/>
        <v>2.6927686695126676</v>
      </c>
      <c r="X90" s="133">
        <f t="shared" si="31"/>
        <v>2.1153168962206448</v>
      </c>
      <c r="Y90" s="133">
        <f t="shared" si="31"/>
        <v>2.1396443563729384</v>
      </c>
      <c r="Z90" s="133">
        <f t="shared" si="31"/>
        <v>2.1612439607469254</v>
      </c>
      <c r="AA90" s="133">
        <f t="shared" si="31"/>
        <v>2.1801835905569971</v>
      </c>
      <c r="AB90" s="133">
        <f t="shared" si="31"/>
        <v>2.1949470320340994</v>
      </c>
      <c r="AC90" s="133">
        <f t="shared" si="31"/>
        <v>2.2064414972269373</v>
      </c>
      <c r="AD90" s="133">
        <f t="shared" si="31"/>
        <v>2.2161952336243322</v>
      </c>
      <c r="AE90" s="133">
        <f t="shared" si="31"/>
        <v>2.220877111747237</v>
      </c>
      <c r="AF90" s="133">
        <f t="shared" si="31"/>
        <v>2.2272386324052573</v>
      </c>
      <c r="AG90" s="133">
        <f t="shared" si="31"/>
        <v>2.9521919566893979</v>
      </c>
      <c r="AH90" s="133">
        <f t="shared" si="31"/>
        <v>2.2396695642729991</v>
      </c>
      <c r="AI90" s="133">
        <f t="shared" si="31"/>
        <v>0</v>
      </c>
      <c r="AJ90" s="133">
        <f t="shared" si="31"/>
        <v>0</v>
      </c>
      <c r="AK90" s="133">
        <f t="shared" si="31"/>
        <v>0</v>
      </c>
      <c r="AL90" s="133">
        <f t="shared" si="31"/>
        <v>0</v>
      </c>
      <c r="AM90" s="133">
        <f t="shared" si="31"/>
        <v>0</v>
      </c>
      <c r="AN90" s="133">
        <f t="shared" si="31"/>
        <v>0</v>
      </c>
      <c r="AO90" s="133">
        <f t="shared" si="31"/>
        <v>0</v>
      </c>
      <c r="AP90" s="133">
        <f t="shared" si="31"/>
        <v>0</v>
      </c>
      <c r="AQ90" s="133">
        <f t="shared" si="31"/>
        <v>0</v>
      </c>
      <c r="AR90" s="134">
        <f t="shared" si="31"/>
        <v>0</v>
      </c>
    </row>
    <row r="91" spans="2:44" ht="15" thickBot="1" x14ac:dyDescent="0.25">
      <c r="B91" s="380"/>
      <c r="C91" s="380"/>
      <c r="D91" s="417"/>
      <c r="E91" s="417"/>
      <c r="F91" s="417"/>
      <c r="G91" s="417"/>
      <c r="H91" s="417"/>
      <c r="I91" s="417"/>
      <c r="J91" s="417"/>
      <c r="K91" s="417"/>
      <c r="L91" s="417"/>
      <c r="M91" s="417"/>
      <c r="N91" s="417"/>
      <c r="O91" s="417"/>
      <c r="P91" s="417"/>
      <c r="Q91" s="417"/>
      <c r="R91" s="417"/>
      <c r="S91" s="417"/>
      <c r="T91" s="417"/>
      <c r="U91" s="417"/>
      <c r="V91" s="417"/>
      <c r="W91" s="417"/>
      <c r="X91" s="417"/>
      <c r="Y91" s="417"/>
      <c r="Z91" s="417"/>
      <c r="AA91" s="417"/>
      <c r="AB91" s="417"/>
      <c r="AC91" s="417"/>
      <c r="AD91" s="417"/>
      <c r="AE91" s="417"/>
      <c r="AF91" s="417"/>
      <c r="AG91" s="417"/>
      <c r="AH91" s="417"/>
      <c r="AI91" s="417"/>
      <c r="AJ91" s="417"/>
      <c r="AK91" s="417"/>
      <c r="AL91" s="417"/>
      <c r="AM91" s="417"/>
      <c r="AN91" s="417"/>
      <c r="AO91" s="417"/>
      <c r="AP91" s="417"/>
      <c r="AQ91" s="417"/>
      <c r="AR91" s="417"/>
    </row>
    <row r="92" spans="2:44" ht="18" thickBot="1" x14ac:dyDescent="0.35">
      <c r="B92" s="31" t="s">
        <v>38</v>
      </c>
      <c r="C92" s="32"/>
      <c r="D92" s="32" t="s">
        <v>34</v>
      </c>
      <c r="E92" s="32"/>
      <c r="F92" s="58">
        <f t="shared" ref="F92:AR92" si="32">F80</f>
        <v>2018</v>
      </c>
      <c r="G92" s="58">
        <f t="shared" si="32"/>
        <v>2019</v>
      </c>
      <c r="H92" s="58">
        <f t="shared" si="32"/>
        <v>2020</v>
      </c>
      <c r="I92" s="58">
        <f t="shared" si="32"/>
        <v>2021</v>
      </c>
      <c r="J92" s="58">
        <f t="shared" si="32"/>
        <v>2022</v>
      </c>
      <c r="K92" s="58">
        <f t="shared" si="32"/>
        <v>2023</v>
      </c>
      <c r="L92" s="58">
        <f t="shared" si="32"/>
        <v>2024</v>
      </c>
      <c r="M92" s="58">
        <f t="shared" si="32"/>
        <v>2025</v>
      </c>
      <c r="N92" s="58">
        <f t="shared" si="32"/>
        <v>2026</v>
      </c>
      <c r="O92" s="58">
        <f t="shared" si="32"/>
        <v>2027</v>
      </c>
      <c r="P92" s="58">
        <f t="shared" si="32"/>
        <v>2028</v>
      </c>
      <c r="Q92" s="58">
        <f t="shared" si="32"/>
        <v>2029</v>
      </c>
      <c r="R92" s="58">
        <f t="shared" si="32"/>
        <v>2030</v>
      </c>
      <c r="S92" s="58">
        <f t="shared" si="32"/>
        <v>2031</v>
      </c>
      <c r="T92" s="58">
        <f t="shared" si="32"/>
        <v>2032</v>
      </c>
      <c r="U92" s="58">
        <f t="shared" si="32"/>
        <v>2033</v>
      </c>
      <c r="V92" s="58">
        <f t="shared" si="32"/>
        <v>2034</v>
      </c>
      <c r="W92" s="58">
        <f t="shared" si="32"/>
        <v>2035</v>
      </c>
      <c r="X92" s="58">
        <f t="shared" si="32"/>
        <v>2036</v>
      </c>
      <c r="Y92" s="58">
        <f t="shared" si="32"/>
        <v>2037</v>
      </c>
      <c r="Z92" s="58">
        <f t="shared" si="32"/>
        <v>2038</v>
      </c>
      <c r="AA92" s="58">
        <f t="shared" si="32"/>
        <v>2039</v>
      </c>
      <c r="AB92" s="58">
        <f t="shared" si="32"/>
        <v>2040</v>
      </c>
      <c r="AC92" s="58">
        <f t="shared" si="32"/>
        <v>2041</v>
      </c>
      <c r="AD92" s="58">
        <f t="shared" si="32"/>
        <v>2042</v>
      </c>
      <c r="AE92" s="58">
        <f t="shared" si="32"/>
        <v>2043</v>
      </c>
      <c r="AF92" s="58">
        <f t="shared" si="32"/>
        <v>2044</v>
      </c>
      <c r="AG92" s="58">
        <f t="shared" si="32"/>
        <v>2045</v>
      </c>
      <c r="AH92" s="58">
        <f t="shared" si="32"/>
        <v>2046</v>
      </c>
      <c r="AI92" s="58">
        <f t="shared" si="32"/>
        <v>2047</v>
      </c>
      <c r="AJ92" s="58">
        <f t="shared" si="32"/>
        <v>2048</v>
      </c>
      <c r="AK92" s="58">
        <f t="shared" si="32"/>
        <v>2049</v>
      </c>
      <c r="AL92" s="58">
        <f t="shared" si="32"/>
        <v>2050</v>
      </c>
      <c r="AM92" s="58">
        <f t="shared" si="32"/>
        <v>2051</v>
      </c>
      <c r="AN92" s="58">
        <f t="shared" si="32"/>
        <v>2052</v>
      </c>
      <c r="AO92" s="58">
        <f t="shared" si="32"/>
        <v>2053</v>
      </c>
      <c r="AP92" s="58">
        <f t="shared" si="32"/>
        <v>2054</v>
      </c>
      <c r="AQ92" s="58">
        <f t="shared" si="32"/>
        <v>2055</v>
      </c>
      <c r="AR92" s="125">
        <f t="shared" si="32"/>
        <v>2056</v>
      </c>
    </row>
    <row r="93" spans="2:44" ht="15" thickBot="1" x14ac:dyDescent="0.25">
      <c r="B93" s="394" t="s">
        <v>24</v>
      </c>
      <c r="C93" s="380"/>
      <c r="D93" s="416">
        <f>SUM(F93:AR93)</f>
        <v>-23.93319059862807</v>
      </c>
      <c r="E93" s="416"/>
      <c r="F93" s="416">
        <f>-'Project Costs'!F$68/1000000</f>
        <v>0</v>
      </c>
      <c r="G93" s="416">
        <f>-'Project Costs'!G$68/1000000</f>
        <v>0</v>
      </c>
      <c r="H93" s="416">
        <f>-'Project Costs'!H$68/1000000</f>
        <v>0</v>
      </c>
      <c r="I93" s="416">
        <f>-'Project Costs'!I$68/1000000</f>
        <v>0</v>
      </c>
      <c r="J93" s="416">
        <f>-'Project Costs'!J$68/1000000</f>
        <v>0</v>
      </c>
      <c r="K93" s="416">
        <f>-'Project Costs'!K$68/1000000</f>
        <v>0</v>
      </c>
      <c r="L93" s="416">
        <f>-'Project Costs'!L$68/1000000</f>
        <v>-2.3237086109699892</v>
      </c>
      <c r="M93" s="416">
        <f>-'Project Costs'!M$68/1000000</f>
        <v>-10.9696582615832</v>
      </c>
      <c r="N93" s="416">
        <f>-'Project Costs'!N$68/1000000</f>
        <v>-10.63982372607488</v>
      </c>
      <c r="O93" s="416">
        <f>-'Project Costs'!O$68/1000000</f>
        <v>0</v>
      </c>
      <c r="P93" s="416">
        <f>-'Project Costs'!P$68/1000000</f>
        <v>0</v>
      </c>
      <c r="Q93" s="416">
        <f>-'Project Costs'!Q$68/1000000</f>
        <v>0</v>
      </c>
      <c r="R93" s="416">
        <f>-'Project Costs'!R$68/1000000</f>
        <v>0</v>
      </c>
      <c r="S93" s="416">
        <f>-'Project Costs'!S$68/1000000</f>
        <v>0</v>
      </c>
      <c r="T93" s="416">
        <f>-'Project Costs'!T$68/1000000</f>
        <v>0</v>
      </c>
      <c r="U93" s="416">
        <f>-'Project Costs'!U$68/1000000</f>
        <v>0</v>
      </c>
      <c r="V93" s="416">
        <f>-'Project Costs'!V$68/1000000</f>
        <v>0</v>
      </c>
      <c r="W93" s="416">
        <f>-'Project Costs'!W$68/1000000</f>
        <v>0</v>
      </c>
      <c r="X93" s="416">
        <f>-'Project Costs'!X$68/1000000</f>
        <v>0</v>
      </c>
      <c r="Y93" s="416">
        <f>-'Project Costs'!Y$68/1000000</f>
        <v>0</v>
      </c>
      <c r="Z93" s="416">
        <f>-'Project Costs'!Z$68/1000000</f>
        <v>0</v>
      </c>
      <c r="AA93" s="416">
        <f>-'Project Costs'!AA$68/1000000</f>
        <v>0</v>
      </c>
      <c r="AB93" s="416">
        <f>-'Project Costs'!AB$68/1000000</f>
        <v>0</v>
      </c>
      <c r="AC93" s="416">
        <f>-'Project Costs'!AC$68/1000000</f>
        <v>0</v>
      </c>
      <c r="AD93" s="416">
        <f>-'Project Costs'!AD$68/1000000</f>
        <v>0</v>
      </c>
      <c r="AE93" s="416">
        <f>-'Project Costs'!AE$68/1000000</f>
        <v>0</v>
      </c>
      <c r="AF93" s="416">
        <f>-'Project Costs'!AF$68/1000000</f>
        <v>0</v>
      </c>
      <c r="AG93" s="416">
        <f>-'Project Costs'!AG$68/1000000</f>
        <v>0</v>
      </c>
      <c r="AH93" s="416">
        <f>-'Project Costs'!AH$68/1000000</f>
        <v>0</v>
      </c>
      <c r="AI93" s="416">
        <f>-'Project Costs'!AI$68/1000000</f>
        <v>0</v>
      </c>
      <c r="AJ93" s="416">
        <f>-'Project Costs'!AJ$68/1000000</f>
        <v>0</v>
      </c>
      <c r="AK93" s="416">
        <f>-'Project Costs'!AK$68/1000000</f>
        <v>0</v>
      </c>
      <c r="AL93" s="416">
        <f>-'Project Costs'!AL$68/1000000</f>
        <v>0</v>
      </c>
      <c r="AM93" s="416">
        <f>-'Project Costs'!AM$68/1000000</f>
        <v>0</v>
      </c>
      <c r="AN93" s="416">
        <f>-'Project Costs'!AN$68/1000000</f>
        <v>0</v>
      </c>
      <c r="AO93" s="416">
        <f>-'Project Costs'!AO$68/1000000</f>
        <v>0</v>
      </c>
      <c r="AP93" s="416">
        <f>-'Project Costs'!AP$68/1000000</f>
        <v>0</v>
      </c>
      <c r="AQ93" s="416">
        <f>-'Project Costs'!AQ$68/1000000</f>
        <v>0</v>
      </c>
      <c r="AR93" s="416">
        <f>-'Project Costs'!AR$68/1000000</f>
        <v>0</v>
      </c>
    </row>
    <row r="94" spans="2:44" ht="15.75" thickBot="1" x14ac:dyDescent="0.3">
      <c r="B94" s="130" t="s">
        <v>27</v>
      </c>
      <c r="C94" s="129"/>
      <c r="D94" s="135">
        <f t="shared" ref="D94" si="33">SUM(F94:AR94)</f>
        <v>-23.93319059862807</v>
      </c>
      <c r="E94" s="135"/>
      <c r="F94" s="135">
        <f t="shared" ref="F94:AR94" si="34">SUM(F93:F93)</f>
        <v>0</v>
      </c>
      <c r="G94" s="135">
        <f t="shared" si="34"/>
        <v>0</v>
      </c>
      <c r="H94" s="135">
        <f t="shared" si="34"/>
        <v>0</v>
      </c>
      <c r="I94" s="135">
        <f t="shared" si="34"/>
        <v>0</v>
      </c>
      <c r="J94" s="135">
        <f t="shared" si="34"/>
        <v>0</v>
      </c>
      <c r="K94" s="135">
        <f t="shared" si="34"/>
        <v>0</v>
      </c>
      <c r="L94" s="135">
        <f t="shared" si="34"/>
        <v>-2.3237086109699892</v>
      </c>
      <c r="M94" s="135">
        <f t="shared" si="34"/>
        <v>-10.9696582615832</v>
      </c>
      <c r="N94" s="135">
        <f t="shared" si="34"/>
        <v>-10.63982372607488</v>
      </c>
      <c r="O94" s="135">
        <f t="shared" si="34"/>
        <v>0</v>
      </c>
      <c r="P94" s="135">
        <f t="shared" si="34"/>
        <v>0</v>
      </c>
      <c r="Q94" s="135">
        <f t="shared" si="34"/>
        <v>0</v>
      </c>
      <c r="R94" s="135">
        <f t="shared" si="34"/>
        <v>0</v>
      </c>
      <c r="S94" s="135">
        <f t="shared" si="34"/>
        <v>0</v>
      </c>
      <c r="T94" s="135">
        <f t="shared" si="34"/>
        <v>0</v>
      </c>
      <c r="U94" s="135">
        <f t="shared" si="34"/>
        <v>0</v>
      </c>
      <c r="V94" s="135">
        <f t="shared" si="34"/>
        <v>0</v>
      </c>
      <c r="W94" s="135">
        <f t="shared" si="34"/>
        <v>0</v>
      </c>
      <c r="X94" s="135">
        <f t="shared" si="34"/>
        <v>0</v>
      </c>
      <c r="Y94" s="135">
        <f t="shared" si="34"/>
        <v>0</v>
      </c>
      <c r="Z94" s="135">
        <f t="shared" si="34"/>
        <v>0</v>
      </c>
      <c r="AA94" s="135">
        <f t="shared" si="34"/>
        <v>0</v>
      </c>
      <c r="AB94" s="135">
        <f t="shared" si="34"/>
        <v>0</v>
      </c>
      <c r="AC94" s="135">
        <f t="shared" si="34"/>
        <v>0</v>
      </c>
      <c r="AD94" s="135">
        <f t="shared" si="34"/>
        <v>0</v>
      </c>
      <c r="AE94" s="135">
        <f t="shared" si="34"/>
        <v>0</v>
      </c>
      <c r="AF94" s="135">
        <f t="shared" si="34"/>
        <v>0</v>
      </c>
      <c r="AG94" s="135">
        <f t="shared" si="34"/>
        <v>0</v>
      </c>
      <c r="AH94" s="135">
        <f t="shared" si="34"/>
        <v>0</v>
      </c>
      <c r="AI94" s="135">
        <f t="shared" si="34"/>
        <v>0</v>
      </c>
      <c r="AJ94" s="135">
        <f t="shared" si="34"/>
        <v>0</v>
      </c>
      <c r="AK94" s="135">
        <f t="shared" si="34"/>
        <v>0</v>
      </c>
      <c r="AL94" s="135">
        <f t="shared" si="34"/>
        <v>0</v>
      </c>
      <c r="AM94" s="135">
        <f t="shared" si="34"/>
        <v>0</v>
      </c>
      <c r="AN94" s="135">
        <f t="shared" si="34"/>
        <v>0</v>
      </c>
      <c r="AO94" s="135">
        <f t="shared" si="34"/>
        <v>0</v>
      </c>
      <c r="AP94" s="135">
        <f t="shared" si="34"/>
        <v>0</v>
      </c>
      <c r="AQ94" s="135">
        <f t="shared" si="34"/>
        <v>0</v>
      </c>
      <c r="AR94" s="136">
        <f t="shared" si="34"/>
        <v>0</v>
      </c>
    </row>
    <row r="95" spans="2:44" ht="15.75" thickBot="1" x14ac:dyDescent="0.3">
      <c r="B95" s="2"/>
      <c r="C95" s="2"/>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row>
    <row r="96" spans="2:44" ht="15.75" thickBot="1" x14ac:dyDescent="0.3">
      <c r="B96" s="128" t="s">
        <v>39</v>
      </c>
      <c r="C96" s="129"/>
      <c r="D96" s="135">
        <f t="shared" ref="D96" si="35">SUM(F96:AR96)</f>
        <v>19.478981100171495</v>
      </c>
      <c r="E96" s="135"/>
      <c r="F96" s="135">
        <f t="shared" ref="F96:AR96" si="36">F90+F94</f>
        <v>0</v>
      </c>
      <c r="G96" s="135">
        <f t="shared" si="36"/>
        <v>0</v>
      </c>
      <c r="H96" s="135">
        <f t="shared" si="36"/>
        <v>0</v>
      </c>
      <c r="I96" s="135">
        <f t="shared" si="36"/>
        <v>0</v>
      </c>
      <c r="J96" s="135">
        <f t="shared" si="36"/>
        <v>0</v>
      </c>
      <c r="K96" s="135">
        <f t="shared" si="36"/>
        <v>0</v>
      </c>
      <c r="L96" s="135">
        <f t="shared" si="36"/>
        <v>-2.3237086109699892</v>
      </c>
      <c r="M96" s="135">
        <f t="shared" si="36"/>
        <v>-10.9696582615832</v>
      </c>
      <c r="N96" s="135">
        <f t="shared" si="36"/>
        <v>-10.63982372607488</v>
      </c>
      <c r="O96" s="135">
        <f t="shared" si="36"/>
        <v>1.3197808417165082</v>
      </c>
      <c r="P96" s="135">
        <f t="shared" si="36"/>
        <v>1.7140940031736862</v>
      </c>
      <c r="Q96" s="135">
        <f t="shared" si="36"/>
        <v>1.8295580247867482</v>
      </c>
      <c r="R96" s="135">
        <f t="shared" si="36"/>
        <v>3.0267602223520393</v>
      </c>
      <c r="S96" s="135">
        <f t="shared" si="36"/>
        <v>1.930917834885056</v>
      </c>
      <c r="T96" s="135">
        <f t="shared" si="36"/>
        <v>1.9761572902757445</v>
      </c>
      <c r="U96" s="135">
        <f t="shared" si="36"/>
        <v>2.0160367813069215</v>
      </c>
      <c r="V96" s="135">
        <f t="shared" si="36"/>
        <v>2.0521481988924255</v>
      </c>
      <c r="W96" s="135">
        <f t="shared" si="36"/>
        <v>2.6927686695126676</v>
      </c>
      <c r="X96" s="135">
        <f t="shared" si="36"/>
        <v>2.1153168962206448</v>
      </c>
      <c r="Y96" s="135">
        <f t="shared" si="36"/>
        <v>2.1396443563729384</v>
      </c>
      <c r="Z96" s="135">
        <f t="shared" si="36"/>
        <v>2.1612439607469254</v>
      </c>
      <c r="AA96" s="135">
        <f t="shared" si="36"/>
        <v>2.1801835905569971</v>
      </c>
      <c r="AB96" s="135">
        <f t="shared" si="36"/>
        <v>2.1949470320340994</v>
      </c>
      <c r="AC96" s="135">
        <f t="shared" si="36"/>
        <v>2.2064414972269373</v>
      </c>
      <c r="AD96" s="135">
        <f t="shared" si="36"/>
        <v>2.2161952336243322</v>
      </c>
      <c r="AE96" s="135">
        <f t="shared" si="36"/>
        <v>2.220877111747237</v>
      </c>
      <c r="AF96" s="135">
        <f t="shared" si="36"/>
        <v>2.2272386324052573</v>
      </c>
      <c r="AG96" s="135">
        <f t="shared" si="36"/>
        <v>2.9521919566893979</v>
      </c>
      <c r="AH96" s="135">
        <f t="shared" si="36"/>
        <v>2.2396695642729991</v>
      </c>
      <c r="AI96" s="135">
        <f t="shared" si="36"/>
        <v>0</v>
      </c>
      <c r="AJ96" s="135">
        <f t="shared" si="36"/>
        <v>0</v>
      </c>
      <c r="AK96" s="135">
        <f t="shared" si="36"/>
        <v>0</v>
      </c>
      <c r="AL96" s="135">
        <f t="shared" si="36"/>
        <v>0</v>
      </c>
      <c r="AM96" s="135">
        <f t="shared" si="36"/>
        <v>0</v>
      </c>
      <c r="AN96" s="135">
        <f t="shared" si="36"/>
        <v>0</v>
      </c>
      <c r="AO96" s="135">
        <f t="shared" si="36"/>
        <v>0</v>
      </c>
      <c r="AP96" s="135">
        <f t="shared" si="36"/>
        <v>0</v>
      </c>
      <c r="AQ96" s="135">
        <f t="shared" si="36"/>
        <v>0</v>
      </c>
      <c r="AR96" s="135">
        <f t="shared" si="36"/>
        <v>0</v>
      </c>
    </row>
  </sheetData>
  <mergeCells count="1">
    <mergeCell ref="B9:D9"/>
  </mergeCells>
  <conditionalFormatting sqref="C8">
    <cfRule type="cellIs" dxfId="1" priority="1" operator="equal">
      <formula>"YES"</formula>
    </cfRule>
  </conditionalFormatting>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E8C91-A0C9-495D-833C-97F6592C9D61}">
  <sheetPr>
    <tabColor theme="9"/>
  </sheetPr>
  <dimension ref="A1:AS44"/>
  <sheetViews>
    <sheetView workbookViewId="0">
      <pane xSplit="4" ySplit="11" topLeftCell="E12" activePane="bottomRight" state="frozen"/>
      <selection pane="topRight" activeCell="E1" sqref="E1"/>
      <selection pane="bottomLeft" activeCell="A12" sqref="A12"/>
      <selection pane="bottomRight" activeCell="A4" sqref="A4"/>
    </sheetView>
  </sheetViews>
  <sheetFormatPr defaultColWidth="0" defaultRowHeight="14.25" x14ac:dyDescent="0.2"/>
  <cols>
    <col min="1" max="1" width="10.5703125" style="1" customWidth="1"/>
    <col min="2" max="2" width="43.85546875" style="1" bestFit="1" customWidth="1"/>
    <col min="3" max="3" width="22.28515625" style="1" bestFit="1" customWidth="1"/>
    <col min="4" max="4" width="15.140625" style="1" bestFit="1" customWidth="1"/>
    <col min="5" max="5" width="1.5703125" style="1" customWidth="1"/>
    <col min="6" max="44" width="14.42578125" style="1" customWidth="1"/>
    <col min="45" max="45" width="9.140625" style="1" customWidth="1"/>
    <col min="46" max="16384" width="9.140625" style="1" hidden="1"/>
  </cols>
  <sheetData>
    <row r="1" spans="1:44" ht="19.5" x14ac:dyDescent="0.3">
      <c r="A1" s="3" t="str">
        <f>Summary!$A$1</f>
        <v>Multimodal Improvements to Safely Connect Tulsa at US-75 and 81st Street Interchange</v>
      </c>
      <c r="B1" s="380"/>
      <c r="C1" s="380"/>
      <c r="D1" s="380"/>
      <c r="E1" s="380"/>
      <c r="F1" s="380"/>
      <c r="G1" s="380"/>
      <c r="H1" s="380"/>
      <c r="I1" s="380"/>
      <c r="J1" s="380"/>
      <c r="K1" s="380"/>
      <c r="L1" s="380"/>
      <c r="M1" s="380"/>
      <c r="N1" s="380"/>
      <c r="O1" s="380"/>
      <c r="P1" s="380"/>
      <c r="Q1" s="380"/>
      <c r="R1" s="380"/>
      <c r="S1" s="380"/>
      <c r="T1" s="380"/>
      <c r="U1" s="380"/>
      <c r="V1" s="380"/>
      <c r="W1" s="380"/>
      <c r="X1" s="380"/>
      <c r="Y1" s="380"/>
      <c r="Z1" s="380"/>
      <c r="AA1" s="380"/>
      <c r="AB1" s="380"/>
      <c r="AC1" s="380"/>
      <c r="AD1" s="380"/>
      <c r="AE1" s="380"/>
      <c r="AF1" s="380"/>
      <c r="AG1" s="380"/>
      <c r="AH1" s="380"/>
      <c r="AI1" s="380"/>
      <c r="AJ1" s="380"/>
      <c r="AK1" s="380"/>
      <c r="AL1" s="380"/>
      <c r="AM1" s="380"/>
      <c r="AN1" s="380"/>
      <c r="AO1" s="380"/>
      <c r="AP1" s="380"/>
      <c r="AQ1" s="380"/>
      <c r="AR1" s="380"/>
    </row>
    <row r="2" spans="1:44" ht="19.5" x14ac:dyDescent="0.3">
      <c r="A2" s="3" t="s">
        <v>365</v>
      </c>
      <c r="B2" s="380"/>
      <c r="C2" s="7"/>
      <c r="D2" s="380"/>
      <c r="E2" s="380"/>
      <c r="F2" s="380"/>
      <c r="G2" s="380"/>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row>
    <row r="3" spans="1:44" x14ac:dyDescent="0.2">
      <c r="A3" s="381">
        <f ca="1">Summary!A3</f>
        <v>45687</v>
      </c>
      <c r="B3" s="380"/>
      <c r="C3" s="7"/>
      <c r="D3" s="7"/>
      <c r="E3" s="380"/>
      <c r="F3" s="380"/>
      <c r="G3" s="380"/>
      <c r="H3" s="380"/>
      <c r="I3" s="380"/>
      <c r="J3" s="380"/>
      <c r="K3" s="380"/>
      <c r="L3" s="380"/>
      <c r="M3" s="380"/>
      <c r="N3" s="380"/>
      <c r="O3" s="380"/>
      <c r="P3" s="380"/>
      <c r="Q3" s="380"/>
      <c r="R3" s="380"/>
      <c r="S3" s="380"/>
      <c r="T3" s="380"/>
      <c r="U3" s="380"/>
      <c r="V3" s="380"/>
      <c r="W3" s="380"/>
      <c r="X3" s="380"/>
      <c r="Y3" s="380"/>
      <c r="Z3" s="380"/>
      <c r="AA3" s="380"/>
      <c r="AB3" s="380"/>
      <c r="AC3" s="380"/>
      <c r="AD3" s="380"/>
      <c r="AE3" s="380"/>
      <c r="AF3" s="380"/>
      <c r="AG3" s="380"/>
      <c r="AH3" s="380"/>
      <c r="AI3" s="380"/>
      <c r="AJ3" s="380"/>
      <c r="AK3" s="380"/>
      <c r="AL3" s="380"/>
      <c r="AM3" s="380"/>
      <c r="AN3" s="380"/>
      <c r="AO3" s="380"/>
      <c r="AP3" s="380"/>
      <c r="AQ3" s="380"/>
      <c r="AR3" s="380"/>
    </row>
    <row r="4" spans="1:44" x14ac:dyDescent="0.2">
      <c r="A4" s="33" t="str">
        <f>Summary!A4</f>
        <v>All $ values 2023, unless otherwise noted</v>
      </c>
      <c r="B4" s="380"/>
      <c r="C4" s="358" t="s">
        <v>259</v>
      </c>
      <c r="D4" s="359">
        <f>Summary!$E$9</f>
        <v>1.8138898580989069</v>
      </c>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c r="AM4" s="380"/>
      <c r="AN4" s="380"/>
      <c r="AO4" s="380"/>
      <c r="AP4" s="380"/>
      <c r="AQ4" s="380"/>
      <c r="AR4" s="380"/>
    </row>
    <row r="5" spans="1:44" x14ac:dyDescent="0.2">
      <c r="A5" s="380"/>
      <c r="B5" s="382"/>
      <c r="C5" s="7"/>
      <c r="D5" s="380"/>
      <c r="E5" s="380"/>
      <c r="F5" s="380"/>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0"/>
      <c r="AO5" s="380"/>
      <c r="AP5" s="380"/>
      <c r="AQ5" s="380"/>
      <c r="AR5" s="380"/>
    </row>
    <row r="6" spans="1:44" x14ac:dyDescent="0.2">
      <c r="A6" s="380"/>
      <c r="B6" s="380"/>
      <c r="C6" s="380" t="s">
        <v>48</v>
      </c>
      <c r="D6" s="380" t="s">
        <v>49</v>
      </c>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row>
    <row r="7" spans="1:44" s="4" customFormat="1" x14ac:dyDescent="0.2">
      <c r="A7" s="450" t="s">
        <v>235</v>
      </c>
      <c r="B7" s="450"/>
      <c r="C7" s="182" t="s">
        <v>235</v>
      </c>
      <c r="D7" s="450"/>
      <c r="E7" s="450"/>
      <c r="F7" s="450">
        <f>Inputs!$E$12</f>
        <v>2018</v>
      </c>
      <c r="G7" s="450">
        <f>F7+1</f>
        <v>2019</v>
      </c>
      <c r="H7" s="450">
        <f t="shared" ref="H7:W8" si="0">G7+1</f>
        <v>2020</v>
      </c>
      <c r="I7" s="450">
        <f t="shared" si="0"/>
        <v>2021</v>
      </c>
      <c r="J7" s="450">
        <f t="shared" si="0"/>
        <v>2022</v>
      </c>
      <c r="K7" s="450">
        <f t="shared" si="0"/>
        <v>2023</v>
      </c>
      <c r="L7" s="450">
        <f t="shared" si="0"/>
        <v>2024</v>
      </c>
      <c r="M7" s="450">
        <f t="shared" si="0"/>
        <v>2025</v>
      </c>
      <c r="N7" s="450">
        <f t="shared" si="0"/>
        <v>2026</v>
      </c>
      <c r="O7" s="450">
        <f t="shared" si="0"/>
        <v>2027</v>
      </c>
      <c r="P7" s="450">
        <f t="shared" si="0"/>
        <v>2028</v>
      </c>
      <c r="Q7" s="450">
        <f t="shared" si="0"/>
        <v>2029</v>
      </c>
      <c r="R7" s="450">
        <f t="shared" si="0"/>
        <v>2030</v>
      </c>
      <c r="S7" s="450">
        <f t="shared" si="0"/>
        <v>2031</v>
      </c>
      <c r="T7" s="450">
        <f t="shared" si="0"/>
        <v>2032</v>
      </c>
      <c r="U7" s="450">
        <f t="shared" si="0"/>
        <v>2033</v>
      </c>
      <c r="V7" s="450">
        <f t="shared" si="0"/>
        <v>2034</v>
      </c>
      <c r="W7" s="450">
        <f t="shared" si="0"/>
        <v>2035</v>
      </c>
      <c r="X7" s="450">
        <f t="shared" ref="X7:AM8" si="1">W7+1</f>
        <v>2036</v>
      </c>
      <c r="Y7" s="450">
        <f t="shared" si="1"/>
        <v>2037</v>
      </c>
      <c r="Z7" s="450">
        <f t="shared" si="1"/>
        <v>2038</v>
      </c>
      <c r="AA7" s="450">
        <f t="shared" si="1"/>
        <v>2039</v>
      </c>
      <c r="AB7" s="450">
        <f t="shared" si="1"/>
        <v>2040</v>
      </c>
      <c r="AC7" s="450">
        <f t="shared" si="1"/>
        <v>2041</v>
      </c>
      <c r="AD7" s="450">
        <f t="shared" si="1"/>
        <v>2042</v>
      </c>
      <c r="AE7" s="450">
        <f t="shared" si="1"/>
        <v>2043</v>
      </c>
      <c r="AF7" s="450">
        <f t="shared" si="1"/>
        <v>2044</v>
      </c>
      <c r="AG7" s="450">
        <f t="shared" si="1"/>
        <v>2045</v>
      </c>
      <c r="AH7" s="450">
        <f t="shared" si="1"/>
        <v>2046</v>
      </c>
      <c r="AI7" s="450">
        <f t="shared" si="1"/>
        <v>2047</v>
      </c>
      <c r="AJ7" s="450">
        <f t="shared" si="1"/>
        <v>2048</v>
      </c>
      <c r="AK7" s="450">
        <f t="shared" si="1"/>
        <v>2049</v>
      </c>
      <c r="AL7" s="450">
        <f t="shared" si="1"/>
        <v>2050</v>
      </c>
      <c r="AM7" s="450">
        <f t="shared" si="1"/>
        <v>2051</v>
      </c>
      <c r="AN7" s="450">
        <f t="shared" ref="AN7:AR8" si="2">AM7+1</f>
        <v>2052</v>
      </c>
      <c r="AO7" s="450">
        <f t="shared" si="2"/>
        <v>2053</v>
      </c>
      <c r="AP7" s="450">
        <f t="shared" si="2"/>
        <v>2054</v>
      </c>
      <c r="AQ7" s="450">
        <f t="shared" si="2"/>
        <v>2055</v>
      </c>
      <c r="AR7" s="450">
        <f t="shared" si="2"/>
        <v>2056</v>
      </c>
    </row>
    <row r="8" spans="1:44" x14ac:dyDescent="0.2">
      <c r="A8" s="380"/>
      <c r="B8" s="380" t="s">
        <v>236</v>
      </c>
      <c r="C8" s="11" t="s">
        <v>54</v>
      </c>
      <c r="D8" s="380"/>
      <c r="E8" s="380"/>
      <c r="F8" s="380">
        <f>D8+1</f>
        <v>1</v>
      </c>
      <c r="G8" s="380">
        <f t="shared" ref="G8" si="3">F8+1</f>
        <v>2</v>
      </c>
      <c r="H8" s="380">
        <f t="shared" si="0"/>
        <v>3</v>
      </c>
      <c r="I8" s="380">
        <f t="shared" si="0"/>
        <v>4</v>
      </c>
      <c r="J8" s="380">
        <f t="shared" si="0"/>
        <v>5</v>
      </c>
      <c r="K8" s="380">
        <f t="shared" si="0"/>
        <v>6</v>
      </c>
      <c r="L8" s="380">
        <f t="shared" si="0"/>
        <v>7</v>
      </c>
      <c r="M8" s="380">
        <f t="shared" si="0"/>
        <v>8</v>
      </c>
      <c r="N8" s="380">
        <f t="shared" si="0"/>
        <v>9</v>
      </c>
      <c r="O8" s="380">
        <f t="shared" si="0"/>
        <v>10</v>
      </c>
      <c r="P8" s="380">
        <f t="shared" si="0"/>
        <v>11</v>
      </c>
      <c r="Q8" s="380">
        <f t="shared" si="0"/>
        <v>12</v>
      </c>
      <c r="R8" s="380">
        <f t="shared" si="0"/>
        <v>13</v>
      </c>
      <c r="S8" s="380">
        <f t="shared" si="0"/>
        <v>14</v>
      </c>
      <c r="T8" s="380">
        <f t="shared" si="0"/>
        <v>15</v>
      </c>
      <c r="U8" s="380">
        <f t="shared" si="0"/>
        <v>16</v>
      </c>
      <c r="V8" s="380">
        <f t="shared" si="0"/>
        <v>17</v>
      </c>
      <c r="W8" s="380">
        <f t="shared" si="0"/>
        <v>18</v>
      </c>
      <c r="X8" s="380">
        <f t="shared" si="1"/>
        <v>19</v>
      </c>
      <c r="Y8" s="380">
        <f t="shared" si="1"/>
        <v>20</v>
      </c>
      <c r="Z8" s="380">
        <f t="shared" si="1"/>
        <v>21</v>
      </c>
      <c r="AA8" s="380">
        <f t="shared" si="1"/>
        <v>22</v>
      </c>
      <c r="AB8" s="380">
        <f t="shared" si="1"/>
        <v>23</v>
      </c>
      <c r="AC8" s="380">
        <f t="shared" si="1"/>
        <v>24</v>
      </c>
      <c r="AD8" s="380">
        <f t="shared" si="1"/>
        <v>25</v>
      </c>
      <c r="AE8" s="380">
        <f t="shared" si="1"/>
        <v>26</v>
      </c>
      <c r="AF8" s="380">
        <f t="shared" si="1"/>
        <v>27</v>
      </c>
      <c r="AG8" s="380">
        <f t="shared" si="1"/>
        <v>28</v>
      </c>
      <c r="AH8" s="380">
        <f t="shared" si="1"/>
        <v>29</v>
      </c>
      <c r="AI8" s="380">
        <f t="shared" si="1"/>
        <v>30</v>
      </c>
      <c r="AJ8" s="380">
        <f t="shared" si="1"/>
        <v>31</v>
      </c>
      <c r="AK8" s="380">
        <f t="shared" si="1"/>
        <v>32</v>
      </c>
      <c r="AL8" s="380">
        <f t="shared" si="1"/>
        <v>33</v>
      </c>
      <c r="AM8" s="380">
        <f t="shared" si="1"/>
        <v>34</v>
      </c>
      <c r="AN8" s="380">
        <f t="shared" si="2"/>
        <v>35</v>
      </c>
      <c r="AO8" s="380">
        <f t="shared" si="2"/>
        <v>36</v>
      </c>
      <c r="AP8" s="380">
        <f t="shared" si="2"/>
        <v>37</v>
      </c>
      <c r="AQ8" s="380">
        <f t="shared" si="2"/>
        <v>38</v>
      </c>
      <c r="AR8" s="380">
        <f t="shared" si="2"/>
        <v>39</v>
      </c>
    </row>
    <row r="9" spans="1:44" x14ac:dyDescent="0.2">
      <c r="A9" s="380"/>
      <c r="B9" s="380" t="s">
        <v>237</v>
      </c>
      <c r="C9" s="11" t="s">
        <v>238</v>
      </c>
      <c r="D9" s="380"/>
      <c r="E9" s="380"/>
      <c r="F9" s="380">
        <f>IF(F7=Inputs!$E$13,1,0)</f>
        <v>0</v>
      </c>
      <c r="G9" s="380">
        <f>IF(G7=Inputs!$E$13,1,0)</f>
        <v>0</v>
      </c>
      <c r="H9" s="380">
        <f>IF(H7=Inputs!$E$13,1,0)</f>
        <v>0</v>
      </c>
      <c r="I9" s="380">
        <f>IF(I7=Inputs!$E$13,1,0)</f>
        <v>0</v>
      </c>
      <c r="J9" s="380">
        <f>IF(J7=Inputs!$E$13,1,0)</f>
        <v>0</v>
      </c>
      <c r="K9" s="380">
        <f>IF(K7=Inputs!$E$13,1,0)</f>
        <v>1</v>
      </c>
      <c r="L9" s="380">
        <f>IF(L7=Inputs!$E$13,1,0)</f>
        <v>0</v>
      </c>
      <c r="M9" s="380">
        <f>IF(M7=Inputs!$E$13,1,0)</f>
        <v>0</v>
      </c>
      <c r="N9" s="380">
        <f>IF(N7=Inputs!$E$13,1,0)</f>
        <v>0</v>
      </c>
      <c r="O9" s="380">
        <f>IF(O7=Inputs!$E$13,1,0)</f>
        <v>0</v>
      </c>
      <c r="P9" s="380">
        <f>IF(P7=Inputs!$E$13,1,0)</f>
        <v>0</v>
      </c>
      <c r="Q9" s="380">
        <f>IF(Q7=Inputs!$E$13,1,0)</f>
        <v>0</v>
      </c>
      <c r="R9" s="380">
        <f>IF(R7=Inputs!$E$13,1,0)</f>
        <v>0</v>
      </c>
      <c r="S9" s="380">
        <f>IF(S7=Inputs!$E$13,1,0)</f>
        <v>0</v>
      </c>
      <c r="T9" s="380">
        <f>IF(T7=Inputs!$E$13,1,0)</f>
        <v>0</v>
      </c>
      <c r="U9" s="380">
        <f>IF(U7=Inputs!$E$13,1,0)</f>
        <v>0</v>
      </c>
      <c r="V9" s="380">
        <f>IF(V7=Inputs!$E$13,1,0)</f>
        <v>0</v>
      </c>
      <c r="W9" s="380">
        <f>IF(W7=Inputs!$E$13,1,0)</f>
        <v>0</v>
      </c>
      <c r="X9" s="380">
        <f>IF(X7=Inputs!$E$13,1,0)</f>
        <v>0</v>
      </c>
      <c r="Y9" s="380">
        <f>IF(Y7=Inputs!$E$13,1,0)</f>
        <v>0</v>
      </c>
      <c r="Z9" s="380">
        <f>IF(Z7=Inputs!$E$13,1,0)</f>
        <v>0</v>
      </c>
      <c r="AA9" s="380">
        <f>IF(AA7=Inputs!$E$13,1,0)</f>
        <v>0</v>
      </c>
      <c r="AB9" s="380">
        <f>IF(AB7=Inputs!$E$13,1,0)</f>
        <v>0</v>
      </c>
      <c r="AC9" s="380">
        <f>IF(AC7=Inputs!$E$13,1,0)</f>
        <v>0</v>
      </c>
      <c r="AD9" s="380">
        <f>IF(AD7=Inputs!$E$13,1,0)</f>
        <v>0</v>
      </c>
      <c r="AE9" s="380">
        <f>IF(AE7=Inputs!$E$13,1,0)</f>
        <v>0</v>
      </c>
      <c r="AF9" s="380">
        <f>IF(AF7=Inputs!$E$13,1,0)</f>
        <v>0</v>
      </c>
      <c r="AG9" s="380">
        <f>IF(AG7=Inputs!$E$13,1,0)</f>
        <v>0</v>
      </c>
      <c r="AH9" s="380">
        <f>IF(AH7=Inputs!$E$13,1,0)</f>
        <v>0</v>
      </c>
      <c r="AI9" s="380">
        <f>IF(AI7=Inputs!$E$13,1,0)</f>
        <v>0</v>
      </c>
      <c r="AJ9" s="380">
        <f>IF(AJ7=Inputs!$E$13,1,0)</f>
        <v>0</v>
      </c>
      <c r="AK9" s="380">
        <f>IF(AK7=Inputs!$E$13,1,0)</f>
        <v>0</v>
      </c>
      <c r="AL9" s="380">
        <f>IF(AL7=Inputs!$E$13,1,0)</f>
        <v>0</v>
      </c>
      <c r="AM9" s="380">
        <f>IF(AM7=Inputs!$E$13,1,0)</f>
        <v>0</v>
      </c>
      <c r="AN9" s="380">
        <f>IF(AN7=Inputs!$E$13,1,0)</f>
        <v>0</v>
      </c>
      <c r="AO9" s="380">
        <f>IF(AO7=Inputs!$E$13,1,0)</f>
        <v>0</v>
      </c>
      <c r="AP9" s="380">
        <f>IF(AP7=Inputs!$E$13,1,0)</f>
        <v>0</v>
      </c>
      <c r="AQ9" s="380">
        <f>IF(AQ7=Inputs!$E$13,1,0)</f>
        <v>0</v>
      </c>
      <c r="AR9" s="380">
        <f>IF(AR7=Inputs!$E$13,1,0)</f>
        <v>0</v>
      </c>
    </row>
    <row r="10" spans="1:44" x14ac:dyDescent="0.2">
      <c r="A10" s="380"/>
      <c r="B10" s="380" t="s">
        <v>239</v>
      </c>
      <c r="C10" s="11" t="s">
        <v>61</v>
      </c>
      <c r="D10" s="380"/>
      <c r="E10" s="380"/>
      <c r="F10" s="428">
        <f>F7-Inputs!$E$13</f>
        <v>-5</v>
      </c>
      <c r="G10" s="428">
        <f>G7-Inputs!$E$13</f>
        <v>-4</v>
      </c>
      <c r="H10" s="428">
        <f>H7-Inputs!$E$13</f>
        <v>-3</v>
      </c>
      <c r="I10" s="428">
        <f>I7-Inputs!$E$13</f>
        <v>-2</v>
      </c>
      <c r="J10" s="428">
        <f>J7-Inputs!$E$13</f>
        <v>-1</v>
      </c>
      <c r="K10" s="428">
        <f>K7-Inputs!$E$13</f>
        <v>0</v>
      </c>
      <c r="L10" s="428">
        <f>L7-Inputs!$E$13</f>
        <v>1</v>
      </c>
      <c r="M10" s="428">
        <f>M7-Inputs!$E$13</f>
        <v>2</v>
      </c>
      <c r="N10" s="428">
        <f>N7-Inputs!$E$13</f>
        <v>3</v>
      </c>
      <c r="O10" s="428">
        <f>O7-Inputs!$E$13</f>
        <v>4</v>
      </c>
      <c r="P10" s="428">
        <f>P7-Inputs!$E$13</f>
        <v>5</v>
      </c>
      <c r="Q10" s="428">
        <f>Q7-Inputs!$E$13</f>
        <v>6</v>
      </c>
      <c r="R10" s="428">
        <f>R7-Inputs!$E$13</f>
        <v>7</v>
      </c>
      <c r="S10" s="428">
        <f>S7-Inputs!$E$13</f>
        <v>8</v>
      </c>
      <c r="T10" s="428">
        <f>T7-Inputs!$E$13</f>
        <v>9</v>
      </c>
      <c r="U10" s="428">
        <f>U7-Inputs!$E$13</f>
        <v>10</v>
      </c>
      <c r="V10" s="428">
        <f>V7-Inputs!$E$13</f>
        <v>11</v>
      </c>
      <c r="W10" s="428">
        <f>W7-Inputs!$E$13</f>
        <v>12</v>
      </c>
      <c r="X10" s="428">
        <f>X7-Inputs!$E$13</f>
        <v>13</v>
      </c>
      <c r="Y10" s="428">
        <f>Y7-Inputs!$E$13</f>
        <v>14</v>
      </c>
      <c r="Z10" s="428">
        <f>Z7-Inputs!$E$13</f>
        <v>15</v>
      </c>
      <c r="AA10" s="428">
        <f>AA7-Inputs!$E$13</f>
        <v>16</v>
      </c>
      <c r="AB10" s="428">
        <f>AB7-Inputs!$E$13</f>
        <v>17</v>
      </c>
      <c r="AC10" s="428">
        <f>AC7-Inputs!$E$13</f>
        <v>18</v>
      </c>
      <c r="AD10" s="428">
        <f>AD7-Inputs!$E$13</f>
        <v>19</v>
      </c>
      <c r="AE10" s="428">
        <f>AE7-Inputs!$E$13</f>
        <v>20</v>
      </c>
      <c r="AF10" s="428">
        <f>AF7-Inputs!$E$13</f>
        <v>21</v>
      </c>
      <c r="AG10" s="428">
        <f>AG7-Inputs!$E$13</f>
        <v>22</v>
      </c>
      <c r="AH10" s="428">
        <f>AH7-Inputs!$E$13</f>
        <v>23</v>
      </c>
      <c r="AI10" s="428">
        <f>AI7-Inputs!$E$13</f>
        <v>24</v>
      </c>
      <c r="AJ10" s="428">
        <f>AJ7-Inputs!$E$13</f>
        <v>25</v>
      </c>
      <c r="AK10" s="428">
        <f>AK7-Inputs!$E$13</f>
        <v>26</v>
      </c>
      <c r="AL10" s="428">
        <f>AL7-Inputs!$E$13</f>
        <v>27</v>
      </c>
      <c r="AM10" s="428">
        <f>AM7-Inputs!$E$13</f>
        <v>28</v>
      </c>
      <c r="AN10" s="428">
        <f>AN7-Inputs!$E$13</f>
        <v>29</v>
      </c>
      <c r="AO10" s="428">
        <f>AO7-Inputs!$E$13</f>
        <v>30</v>
      </c>
      <c r="AP10" s="428">
        <f>AP7-Inputs!$E$13</f>
        <v>31</v>
      </c>
      <c r="AQ10" s="428">
        <f>AQ7-Inputs!$E$13</f>
        <v>32</v>
      </c>
      <c r="AR10" s="428">
        <f>AR7-Inputs!$E$13</f>
        <v>33</v>
      </c>
    </row>
    <row r="11" spans="1:44" x14ac:dyDescent="0.2">
      <c r="A11" s="380"/>
      <c r="B11" s="380" t="s">
        <v>240</v>
      </c>
      <c r="C11" s="11" t="s">
        <v>238</v>
      </c>
      <c r="D11" s="380"/>
      <c r="E11" s="380"/>
      <c r="F11" s="380">
        <f>IF(AND(F7&gt;=Inputs!$E$17,F7&lt;Inputs!$E$26),1,0)</f>
        <v>0</v>
      </c>
      <c r="G11" s="380">
        <f>IF(AND(G7&gt;=Inputs!$E$17,G7&lt;Inputs!$E$26),1,0)</f>
        <v>0</v>
      </c>
      <c r="H11" s="380">
        <f>IF(AND(H7&gt;=Inputs!$E$17,H7&lt;Inputs!$E$26),1,0)</f>
        <v>0</v>
      </c>
      <c r="I11" s="380">
        <f>IF(AND(I7&gt;=Inputs!$E$17,I7&lt;Inputs!$E$26),1,0)</f>
        <v>0</v>
      </c>
      <c r="J11" s="380">
        <f>IF(AND(J7&gt;=Inputs!$E$17,J7&lt;Inputs!$E$26),1,0)</f>
        <v>0</v>
      </c>
      <c r="K11" s="380">
        <f>IF(AND(K7&gt;=Inputs!$E$17,K7&lt;Inputs!$E$26),1,0)</f>
        <v>0</v>
      </c>
      <c r="L11" s="380">
        <f>IF(AND(L7&gt;=Inputs!$E$17,L7&lt;Inputs!$E$26),1,0)</f>
        <v>0</v>
      </c>
      <c r="M11" s="380">
        <f>IF(AND(M7&gt;=Inputs!$E$17,M7&lt;Inputs!$E$26),1,0)</f>
        <v>0</v>
      </c>
      <c r="N11" s="380">
        <f>IF(AND(N7&gt;=Inputs!$E$17,N7&lt;Inputs!$E$26),1,0)</f>
        <v>0</v>
      </c>
      <c r="O11" s="380">
        <f>IF(AND(O7&gt;=Inputs!$E$17,O7&lt;Inputs!$E$26),1,0)</f>
        <v>1</v>
      </c>
      <c r="P11" s="380">
        <f>IF(AND(P7&gt;=Inputs!$E$17,P7&lt;Inputs!$E$26),1,0)</f>
        <v>1</v>
      </c>
      <c r="Q11" s="380">
        <f>IF(AND(Q7&gt;=Inputs!$E$17,Q7&lt;Inputs!$E$26),1,0)</f>
        <v>1</v>
      </c>
      <c r="R11" s="380">
        <f>IF(AND(R7&gt;=Inputs!$E$17,R7&lt;Inputs!$E$26),1,0)</f>
        <v>1</v>
      </c>
      <c r="S11" s="380">
        <f>IF(AND(S7&gt;=Inputs!$E$17,S7&lt;Inputs!$E$26),1,0)</f>
        <v>1</v>
      </c>
      <c r="T11" s="380">
        <f>IF(AND(T7&gt;=Inputs!$E$17,T7&lt;Inputs!$E$26),1,0)</f>
        <v>1</v>
      </c>
      <c r="U11" s="380">
        <f>IF(AND(U7&gt;=Inputs!$E$17,U7&lt;Inputs!$E$26),1,0)</f>
        <v>1</v>
      </c>
      <c r="V11" s="380">
        <f>IF(AND(V7&gt;=Inputs!$E$17,V7&lt;Inputs!$E$26),1,0)</f>
        <v>1</v>
      </c>
      <c r="W11" s="380">
        <f>IF(AND(W7&gt;=Inputs!$E$17,W7&lt;Inputs!$E$26),1,0)</f>
        <v>1</v>
      </c>
      <c r="X11" s="380">
        <f>IF(AND(X7&gt;=Inputs!$E$17,X7&lt;Inputs!$E$26),1,0)</f>
        <v>1</v>
      </c>
      <c r="Y11" s="380">
        <f>IF(AND(Y7&gt;=Inputs!$E$17,Y7&lt;Inputs!$E$26),1,0)</f>
        <v>1</v>
      </c>
      <c r="Z11" s="380">
        <f>IF(AND(Z7&gt;=Inputs!$E$17,Z7&lt;Inputs!$E$26),1,0)</f>
        <v>1</v>
      </c>
      <c r="AA11" s="380">
        <f>IF(AND(AA7&gt;=Inputs!$E$17,AA7&lt;Inputs!$E$26),1,0)</f>
        <v>1</v>
      </c>
      <c r="AB11" s="380">
        <f>IF(AND(AB7&gt;=Inputs!$E$17,AB7&lt;Inputs!$E$26),1,0)</f>
        <v>1</v>
      </c>
      <c r="AC11" s="380">
        <f>IF(AND(AC7&gt;=Inputs!$E$17,AC7&lt;Inputs!$E$26),1,0)</f>
        <v>1</v>
      </c>
      <c r="AD11" s="380">
        <f>IF(AND(AD7&gt;=Inputs!$E$17,AD7&lt;Inputs!$E$26),1,0)</f>
        <v>1</v>
      </c>
      <c r="AE11" s="380">
        <f>IF(AND(AE7&gt;=Inputs!$E$17,AE7&lt;Inputs!$E$26),1,0)</f>
        <v>1</v>
      </c>
      <c r="AF11" s="380">
        <f>IF(AND(AF7&gt;=Inputs!$E$17,AF7&lt;Inputs!$E$26),1,0)</f>
        <v>1</v>
      </c>
      <c r="AG11" s="380">
        <f>IF(AND(AG7&gt;=Inputs!$E$17,AG7&lt;Inputs!$E$26),1,0)</f>
        <v>1</v>
      </c>
      <c r="AH11" s="380">
        <f>IF(AND(AH7&gt;=Inputs!$E$17,AH7&lt;Inputs!$E$26),1,0)</f>
        <v>1</v>
      </c>
      <c r="AI11" s="380">
        <f>IF(AND(AI7&gt;=Inputs!$E$17,AI7&lt;Inputs!$E$26),1,0)</f>
        <v>0</v>
      </c>
      <c r="AJ11" s="380">
        <f>IF(AND(AJ7&gt;=Inputs!$E$17,AJ7&lt;Inputs!$E$26),1,0)</f>
        <v>0</v>
      </c>
      <c r="AK11" s="380">
        <f>IF(AND(AK7&gt;=Inputs!$E$17,AK7&lt;Inputs!$E$26),1,0)</f>
        <v>0</v>
      </c>
      <c r="AL11" s="380">
        <f>IF(AND(AL7&gt;=Inputs!$E$17,AL7&lt;Inputs!$E$26),1,0)</f>
        <v>0</v>
      </c>
      <c r="AM11" s="380">
        <f>IF(AND(AM7&gt;=Inputs!$E$17,AM7&lt;Inputs!$E$26),1,0)</f>
        <v>0</v>
      </c>
      <c r="AN11" s="380">
        <f>IF(AND(AN7&gt;=Inputs!$E$17,AN7&lt;Inputs!$E$26),1,0)</f>
        <v>0</v>
      </c>
      <c r="AO11" s="380">
        <f>IF(AND(AO7&gt;=Inputs!$E$17,AO7&lt;Inputs!$E$26),1,0)</f>
        <v>0</v>
      </c>
      <c r="AP11" s="380">
        <f>IF(AND(AP7&gt;=Inputs!$E$17,AP7&lt;Inputs!$E$26),1,0)</f>
        <v>0</v>
      </c>
      <c r="AQ11" s="380">
        <f>IF(AND(AQ7&gt;=Inputs!$E$17,AQ7&lt;Inputs!$E$26),1,0)</f>
        <v>0</v>
      </c>
      <c r="AR11" s="380">
        <f>IF(AND(AR7&gt;=Inputs!$E$17,AR7&lt;Inputs!$E$26),1,0)</f>
        <v>0</v>
      </c>
    </row>
    <row r="12" spans="1:44" ht="15" x14ac:dyDescent="0.25">
      <c r="A12" s="2" t="s">
        <v>241</v>
      </c>
      <c r="B12" s="380"/>
      <c r="C12" s="11"/>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0"/>
      <c r="AI12" s="380"/>
      <c r="AJ12" s="380"/>
      <c r="AK12" s="380"/>
      <c r="AL12" s="380"/>
      <c r="AM12" s="380"/>
      <c r="AN12" s="380"/>
      <c r="AO12" s="380"/>
      <c r="AP12" s="380"/>
      <c r="AQ12" s="380"/>
      <c r="AR12" s="380"/>
    </row>
    <row r="13" spans="1:44" x14ac:dyDescent="0.2">
      <c r="A13" s="380"/>
      <c r="B13" s="380" t="s">
        <v>242</v>
      </c>
      <c r="C13" s="11" t="s">
        <v>54</v>
      </c>
      <c r="D13" s="380"/>
      <c r="E13" s="380"/>
      <c r="F13" s="380">
        <f>(F11+D13)*F11</f>
        <v>0</v>
      </c>
      <c r="G13" s="380">
        <f t="shared" ref="G13:AG13" si="4">(G11+F13)*G11</f>
        <v>0</v>
      </c>
      <c r="H13" s="380">
        <f t="shared" si="4"/>
        <v>0</v>
      </c>
      <c r="I13" s="380">
        <f t="shared" si="4"/>
        <v>0</v>
      </c>
      <c r="J13" s="380">
        <f t="shared" si="4"/>
        <v>0</v>
      </c>
      <c r="K13" s="380">
        <f t="shared" si="4"/>
        <v>0</v>
      </c>
      <c r="L13" s="380">
        <f t="shared" si="4"/>
        <v>0</v>
      </c>
      <c r="M13" s="380">
        <f t="shared" si="4"/>
        <v>0</v>
      </c>
      <c r="N13" s="380">
        <f t="shared" si="4"/>
        <v>0</v>
      </c>
      <c r="O13" s="380">
        <f t="shared" si="4"/>
        <v>1</v>
      </c>
      <c r="P13" s="380">
        <f t="shared" si="4"/>
        <v>2</v>
      </c>
      <c r="Q13" s="380">
        <f t="shared" si="4"/>
        <v>3</v>
      </c>
      <c r="R13" s="380">
        <f t="shared" si="4"/>
        <v>4</v>
      </c>
      <c r="S13" s="380">
        <f t="shared" si="4"/>
        <v>5</v>
      </c>
      <c r="T13" s="380">
        <f t="shared" si="4"/>
        <v>6</v>
      </c>
      <c r="U13" s="380">
        <f t="shared" si="4"/>
        <v>7</v>
      </c>
      <c r="V13" s="380">
        <f t="shared" si="4"/>
        <v>8</v>
      </c>
      <c r="W13" s="380">
        <f t="shared" si="4"/>
        <v>9</v>
      </c>
      <c r="X13" s="380">
        <f t="shared" si="4"/>
        <v>10</v>
      </c>
      <c r="Y13" s="380">
        <f t="shared" si="4"/>
        <v>11</v>
      </c>
      <c r="Z13" s="380">
        <f t="shared" si="4"/>
        <v>12</v>
      </c>
      <c r="AA13" s="380">
        <f t="shared" si="4"/>
        <v>13</v>
      </c>
      <c r="AB13" s="380">
        <f t="shared" si="4"/>
        <v>14</v>
      </c>
      <c r="AC13" s="380">
        <f t="shared" si="4"/>
        <v>15</v>
      </c>
      <c r="AD13" s="380">
        <f t="shared" si="4"/>
        <v>16</v>
      </c>
      <c r="AE13" s="380">
        <f t="shared" si="4"/>
        <v>17</v>
      </c>
      <c r="AF13" s="380">
        <f t="shared" si="4"/>
        <v>18</v>
      </c>
      <c r="AG13" s="380">
        <f t="shared" si="4"/>
        <v>19</v>
      </c>
      <c r="AH13" s="380">
        <f>(AH11+AG13)*AH11</f>
        <v>20</v>
      </c>
      <c r="AI13" s="380">
        <f t="shared" ref="AI13:AR13" si="5">(AI11+AH13)*AI11</f>
        <v>0</v>
      </c>
      <c r="AJ13" s="380">
        <f t="shared" si="5"/>
        <v>0</v>
      </c>
      <c r="AK13" s="380">
        <f t="shared" si="5"/>
        <v>0</v>
      </c>
      <c r="AL13" s="380">
        <f t="shared" si="5"/>
        <v>0</v>
      </c>
      <c r="AM13" s="380">
        <f t="shared" si="5"/>
        <v>0</v>
      </c>
      <c r="AN13" s="380">
        <f t="shared" si="5"/>
        <v>0</v>
      </c>
      <c r="AO13" s="380">
        <f t="shared" si="5"/>
        <v>0</v>
      </c>
      <c r="AP13" s="380">
        <f t="shared" si="5"/>
        <v>0</v>
      </c>
      <c r="AQ13" s="380">
        <f t="shared" si="5"/>
        <v>0</v>
      </c>
      <c r="AR13" s="380">
        <f t="shared" si="5"/>
        <v>0</v>
      </c>
    </row>
    <row r="14" spans="1:44" ht="15" x14ac:dyDescent="0.25">
      <c r="A14" s="2" t="s">
        <v>9</v>
      </c>
      <c r="B14" s="380"/>
      <c r="C14" s="11"/>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c r="AB14" s="380"/>
      <c r="AC14" s="380"/>
      <c r="AD14" s="380"/>
      <c r="AE14" s="380"/>
      <c r="AF14" s="380"/>
      <c r="AG14" s="380"/>
      <c r="AH14" s="380"/>
      <c r="AI14" s="380"/>
      <c r="AJ14" s="380"/>
      <c r="AK14" s="380"/>
      <c r="AL14" s="380"/>
      <c r="AM14" s="380"/>
      <c r="AN14" s="380"/>
      <c r="AO14" s="380"/>
      <c r="AP14" s="380"/>
      <c r="AQ14" s="380"/>
      <c r="AR14" s="380"/>
    </row>
    <row r="15" spans="1:44" x14ac:dyDescent="0.2">
      <c r="A15" s="380"/>
      <c r="B15" s="380" t="s">
        <v>75</v>
      </c>
      <c r="C15" s="11" t="s">
        <v>54</v>
      </c>
      <c r="D15" s="445">
        <f>Inputs!E29</f>
        <v>0</v>
      </c>
      <c r="E15" s="445"/>
      <c r="F15" s="446">
        <f t="shared" ref="F15:L15" si="6">1/(1+$D15)^(F$10)</f>
        <v>1</v>
      </c>
      <c r="G15" s="446">
        <f t="shared" si="6"/>
        <v>1</v>
      </c>
      <c r="H15" s="446">
        <f t="shared" si="6"/>
        <v>1</v>
      </c>
      <c r="I15" s="446">
        <f t="shared" si="6"/>
        <v>1</v>
      </c>
      <c r="J15" s="446">
        <f t="shared" si="6"/>
        <v>1</v>
      </c>
      <c r="K15" s="446">
        <f t="shared" si="6"/>
        <v>1</v>
      </c>
      <c r="L15" s="446">
        <f t="shared" si="6"/>
        <v>1</v>
      </c>
      <c r="M15" s="446">
        <f>1/(1+$D15)^(M$10)</f>
        <v>1</v>
      </c>
      <c r="N15" s="446">
        <f t="shared" ref="N15:AR15" si="7">1/(1+$D15)^(N$10)</f>
        <v>1</v>
      </c>
      <c r="O15" s="446">
        <f t="shared" si="7"/>
        <v>1</v>
      </c>
      <c r="P15" s="446">
        <f t="shared" si="7"/>
        <v>1</v>
      </c>
      <c r="Q15" s="446">
        <f t="shared" si="7"/>
        <v>1</v>
      </c>
      <c r="R15" s="446">
        <f t="shared" si="7"/>
        <v>1</v>
      </c>
      <c r="S15" s="446">
        <f t="shared" si="7"/>
        <v>1</v>
      </c>
      <c r="T15" s="446">
        <f t="shared" si="7"/>
        <v>1</v>
      </c>
      <c r="U15" s="446">
        <f t="shared" si="7"/>
        <v>1</v>
      </c>
      <c r="V15" s="446">
        <f t="shared" si="7"/>
        <v>1</v>
      </c>
      <c r="W15" s="446">
        <f t="shared" si="7"/>
        <v>1</v>
      </c>
      <c r="X15" s="446">
        <f t="shared" si="7"/>
        <v>1</v>
      </c>
      <c r="Y15" s="446">
        <f t="shared" si="7"/>
        <v>1</v>
      </c>
      <c r="Z15" s="446">
        <f t="shared" si="7"/>
        <v>1</v>
      </c>
      <c r="AA15" s="446">
        <f t="shared" si="7"/>
        <v>1</v>
      </c>
      <c r="AB15" s="446">
        <f t="shared" si="7"/>
        <v>1</v>
      </c>
      <c r="AC15" s="446">
        <f t="shared" si="7"/>
        <v>1</v>
      </c>
      <c r="AD15" s="446">
        <f t="shared" si="7"/>
        <v>1</v>
      </c>
      <c r="AE15" s="446">
        <f t="shared" si="7"/>
        <v>1</v>
      </c>
      <c r="AF15" s="446">
        <f t="shared" si="7"/>
        <v>1</v>
      </c>
      <c r="AG15" s="446">
        <f t="shared" si="7"/>
        <v>1</v>
      </c>
      <c r="AH15" s="446">
        <f t="shared" si="7"/>
        <v>1</v>
      </c>
      <c r="AI15" s="446">
        <f t="shared" si="7"/>
        <v>1</v>
      </c>
      <c r="AJ15" s="446">
        <f t="shared" si="7"/>
        <v>1</v>
      </c>
      <c r="AK15" s="446">
        <f t="shared" si="7"/>
        <v>1</v>
      </c>
      <c r="AL15" s="446">
        <f t="shared" si="7"/>
        <v>1</v>
      </c>
      <c r="AM15" s="446">
        <f t="shared" si="7"/>
        <v>1</v>
      </c>
      <c r="AN15" s="446">
        <f t="shared" si="7"/>
        <v>1</v>
      </c>
      <c r="AO15" s="446">
        <f t="shared" si="7"/>
        <v>1</v>
      </c>
      <c r="AP15" s="446">
        <f t="shared" si="7"/>
        <v>1</v>
      </c>
      <c r="AQ15" s="446">
        <f t="shared" si="7"/>
        <v>1</v>
      </c>
      <c r="AR15" s="446">
        <f t="shared" si="7"/>
        <v>1</v>
      </c>
    </row>
    <row r="16" spans="1:44" x14ac:dyDescent="0.2">
      <c r="A16" s="380"/>
      <c r="B16" s="380" t="str">
        <f>Inputs!$C$30</f>
        <v>2% Discount Factor</v>
      </c>
      <c r="C16" s="11" t="s">
        <v>54</v>
      </c>
      <c r="D16" s="445">
        <f>Inputs!E30</f>
        <v>0.02</v>
      </c>
      <c r="E16" s="445"/>
      <c r="F16" s="446">
        <f t="shared" ref="F16:L16" si="8">MIN(1,IF(F10=0,1,1/(1+$D16)^(F$10)))</f>
        <v>1</v>
      </c>
      <c r="G16" s="446">
        <f t="shared" si="8"/>
        <v>1</v>
      </c>
      <c r="H16" s="446">
        <f t="shared" si="8"/>
        <v>1</v>
      </c>
      <c r="I16" s="446">
        <f t="shared" si="8"/>
        <v>1</v>
      </c>
      <c r="J16" s="446">
        <f t="shared" si="8"/>
        <v>1</v>
      </c>
      <c r="K16" s="446">
        <f t="shared" si="8"/>
        <v>1</v>
      </c>
      <c r="L16" s="446">
        <f t="shared" si="8"/>
        <v>0.98039215686274506</v>
      </c>
      <c r="M16" s="446">
        <f>MIN(1,IF(M10=0,1,1/(1+$D16)^(M$10)))</f>
        <v>0.96116878123798544</v>
      </c>
      <c r="N16" s="446">
        <f t="shared" ref="N16:AR16" si="9">MIN(1,IF(N10=0,1,1/(1+$D16)^(N$10)))</f>
        <v>0.94232233454704462</v>
      </c>
      <c r="O16" s="446">
        <f t="shared" si="9"/>
        <v>0.9238454260265142</v>
      </c>
      <c r="P16" s="446">
        <f t="shared" si="9"/>
        <v>0.90573080982991594</v>
      </c>
      <c r="Q16" s="446">
        <f t="shared" si="9"/>
        <v>0.88797138218619198</v>
      </c>
      <c r="R16" s="446">
        <f t="shared" si="9"/>
        <v>0.87056017861391388</v>
      </c>
      <c r="S16" s="446">
        <f t="shared" si="9"/>
        <v>0.85349037119011162</v>
      </c>
      <c r="T16" s="446">
        <f t="shared" si="9"/>
        <v>0.83675526587265847</v>
      </c>
      <c r="U16" s="446">
        <f t="shared" si="9"/>
        <v>0.82034829987515534</v>
      </c>
      <c r="V16" s="446">
        <f t="shared" si="9"/>
        <v>0.80426303909328967</v>
      </c>
      <c r="W16" s="446">
        <f t="shared" si="9"/>
        <v>0.78849317558165644</v>
      </c>
      <c r="X16" s="446">
        <f t="shared" si="9"/>
        <v>0.77303252508005538</v>
      </c>
      <c r="Y16" s="446">
        <f t="shared" si="9"/>
        <v>0.75787502458828948</v>
      </c>
      <c r="Z16" s="446">
        <f t="shared" si="9"/>
        <v>0.74301472998851925</v>
      </c>
      <c r="AA16" s="446">
        <f t="shared" si="9"/>
        <v>0.72844581371423445</v>
      </c>
      <c r="AB16" s="446">
        <f t="shared" si="9"/>
        <v>0.7141625624649357</v>
      </c>
      <c r="AC16" s="446">
        <f t="shared" si="9"/>
        <v>0.7001593749656233</v>
      </c>
      <c r="AD16" s="446">
        <f t="shared" si="9"/>
        <v>0.68643075977021895</v>
      </c>
      <c r="AE16" s="446">
        <f t="shared" si="9"/>
        <v>0.67297133310805779</v>
      </c>
      <c r="AF16" s="446">
        <f t="shared" si="9"/>
        <v>0.65977581677260566</v>
      </c>
      <c r="AG16" s="446">
        <f t="shared" si="9"/>
        <v>0.64683903605157411</v>
      </c>
      <c r="AH16" s="446">
        <f t="shared" si="9"/>
        <v>0.63415591769762181</v>
      </c>
      <c r="AI16" s="446">
        <f t="shared" si="9"/>
        <v>0.62172148793884485</v>
      </c>
      <c r="AJ16" s="446">
        <f t="shared" si="9"/>
        <v>0.60953087052827937</v>
      </c>
      <c r="AK16" s="446">
        <f t="shared" si="9"/>
        <v>0.59757928483164635</v>
      </c>
      <c r="AL16" s="446">
        <f t="shared" si="9"/>
        <v>0.58586204395259456</v>
      </c>
      <c r="AM16" s="446">
        <f t="shared" si="9"/>
        <v>0.57437455289470041</v>
      </c>
      <c r="AN16" s="446">
        <f t="shared" si="9"/>
        <v>0.56311230675951029</v>
      </c>
      <c r="AO16" s="446">
        <f t="shared" si="9"/>
        <v>0.55207088897991197</v>
      </c>
      <c r="AP16" s="446">
        <f t="shared" si="9"/>
        <v>0.54124596958814919</v>
      </c>
      <c r="AQ16" s="446">
        <f t="shared" si="9"/>
        <v>0.53063330351779314</v>
      </c>
      <c r="AR16" s="446">
        <f t="shared" si="9"/>
        <v>0.52022872893901284</v>
      </c>
    </row>
    <row r="17" spans="1:44" x14ac:dyDescent="0.2">
      <c r="A17" s="380"/>
      <c r="B17" s="380" t="str">
        <f>Inputs!$C$31</f>
        <v>3.1% Discount Factor</v>
      </c>
      <c r="C17" s="11" t="s">
        <v>54</v>
      </c>
      <c r="D17" s="445">
        <f>Inputs!E31</f>
        <v>3.1E-2</v>
      </c>
      <c r="E17" s="445"/>
      <c r="F17" s="446">
        <f t="shared" ref="F17:L17" si="10">MIN(1,IF(F10=0,1,1/(1+$D17)^(F$10)))</f>
        <v>1</v>
      </c>
      <c r="G17" s="446">
        <f t="shared" si="10"/>
        <v>1</v>
      </c>
      <c r="H17" s="446">
        <f t="shared" si="10"/>
        <v>1</v>
      </c>
      <c r="I17" s="446">
        <f t="shared" si="10"/>
        <v>1</v>
      </c>
      <c r="J17" s="446">
        <f t="shared" si="10"/>
        <v>1</v>
      </c>
      <c r="K17" s="446">
        <f t="shared" si="10"/>
        <v>1</v>
      </c>
      <c r="L17" s="446">
        <f t="shared" si="10"/>
        <v>0.96993210475266745</v>
      </c>
      <c r="M17" s="446">
        <f>MIN(1,IF(M10=0,1,1/(1+$D17)^(M$10)))</f>
        <v>0.94076828782993938</v>
      </c>
      <c r="N17" s="446">
        <f t="shared" ref="N17:AR17" si="11">MIN(1,IF(N10=0,1,1/(1+$D17)^(N$10)))</f>
        <v>0.91248136549945624</v>
      </c>
      <c r="O17" s="446">
        <f t="shared" si="11"/>
        <v>0.88504497138647553</v>
      </c>
      <c r="P17" s="446">
        <f t="shared" si="11"/>
        <v>0.85843353189764848</v>
      </c>
      <c r="Q17" s="446">
        <f t="shared" si="11"/>
        <v>0.83262224238375215</v>
      </c>
      <c r="R17" s="446">
        <f t="shared" si="11"/>
        <v>0.80758704401915837</v>
      </c>
      <c r="S17" s="446">
        <f t="shared" si="11"/>
        <v>0.78330460137648728</v>
      </c>
      <c r="T17" s="446">
        <f t="shared" si="11"/>
        <v>0.75975228067554545</v>
      </c>
      <c r="U17" s="446">
        <f t="shared" si="11"/>
        <v>0.73690812868627109</v>
      </c>
      <c r="V17" s="446">
        <f t="shared" si="11"/>
        <v>0.71475085226602442</v>
      </c>
      <c r="W17" s="446">
        <f t="shared" si="11"/>
        <v>0.69325979851214781</v>
      </c>
      <c r="X17" s="446">
        <f t="shared" si="11"/>
        <v>0.67241493551129761</v>
      </c>
      <c r="Y17" s="446">
        <f t="shared" si="11"/>
        <v>0.65219683366760206</v>
      </c>
      <c r="Z17" s="446">
        <f t="shared" si="11"/>
        <v>0.63258664759224259</v>
      </c>
      <c r="AA17" s="446">
        <f t="shared" si="11"/>
        <v>0.6135660985375776</v>
      </c>
      <c r="AB17" s="446">
        <f t="shared" si="11"/>
        <v>0.59511745735943511</v>
      </c>
      <c r="AC17" s="446">
        <f t="shared" si="11"/>
        <v>0.57722352799169274</v>
      </c>
      <c r="AD17" s="446">
        <f t="shared" si="11"/>
        <v>0.55986763141774276</v>
      </c>
      <c r="AE17" s="446">
        <f t="shared" si="11"/>
        <v>0.54303359012390184</v>
      </c>
      <c r="AF17" s="446">
        <f t="shared" si="11"/>
        <v>0.52670571302027336</v>
      </c>
      <c r="AG17" s="446">
        <f t="shared" si="11"/>
        <v>0.51086878081500819</v>
      </c>
      <c r="AH17" s="446">
        <f t="shared" si="11"/>
        <v>0.49550803182832992</v>
      </c>
      <c r="AI17" s="446">
        <f t="shared" si="11"/>
        <v>0.4806091482331038</v>
      </c>
      <c r="AJ17" s="446">
        <f t="shared" si="11"/>
        <v>0.46615824270912104</v>
      </c>
      <c r="AK17" s="446">
        <f t="shared" si="11"/>
        <v>0.4521418454986626</v>
      </c>
      <c r="AL17" s="446">
        <f t="shared" si="11"/>
        <v>0.4385468918512731</v>
      </c>
      <c r="AM17" s="446">
        <f t="shared" si="11"/>
        <v>0.42536070984604568</v>
      </c>
      <c r="AN17" s="446">
        <f t="shared" si="11"/>
        <v>0.41257100858006374</v>
      </c>
      <c r="AO17" s="446">
        <f t="shared" si="11"/>
        <v>0.400165866711992</v>
      </c>
      <c r="AP17" s="446">
        <f t="shared" si="11"/>
        <v>0.38813372135013779</v>
      </c>
      <c r="AQ17" s="446">
        <f t="shared" si="11"/>
        <v>0.37646335727462438</v>
      </c>
      <c r="AR17" s="446">
        <f t="shared" si="11"/>
        <v>0.36514389648363188</v>
      </c>
    </row>
    <row r="18" spans="1:44" x14ac:dyDescent="0.2">
      <c r="A18" s="380"/>
      <c r="B18" s="380"/>
      <c r="C18" s="1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80"/>
      <c r="AJ18" s="380"/>
      <c r="AK18" s="380"/>
      <c r="AL18" s="380"/>
      <c r="AM18" s="380"/>
      <c r="AN18" s="380"/>
      <c r="AO18" s="380"/>
      <c r="AP18" s="380"/>
      <c r="AQ18" s="380"/>
      <c r="AR18" s="380"/>
    </row>
    <row r="19" spans="1:44" x14ac:dyDescent="0.2">
      <c r="A19" s="380"/>
      <c r="B19" s="380" t="s">
        <v>243</v>
      </c>
      <c r="C19" s="380" t="s">
        <v>48</v>
      </c>
      <c r="D19" s="380" t="s">
        <v>49</v>
      </c>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L19" s="380"/>
      <c r="AM19" s="380"/>
      <c r="AN19" s="380"/>
      <c r="AO19" s="380"/>
      <c r="AP19" s="380"/>
      <c r="AQ19" s="380"/>
      <c r="AR19" s="380"/>
    </row>
    <row r="20" spans="1:44" s="4" customFormat="1" x14ac:dyDescent="0.2">
      <c r="A20" s="449" t="s">
        <v>244</v>
      </c>
      <c r="B20" s="450"/>
      <c r="C20" s="450"/>
      <c r="D20" s="450"/>
      <c r="E20" s="450"/>
      <c r="F20" s="450"/>
      <c r="G20" s="450"/>
      <c r="H20" s="450"/>
      <c r="I20" s="450"/>
      <c r="J20" s="450"/>
      <c r="K20" s="450"/>
      <c r="L20" s="450"/>
      <c r="M20" s="450"/>
      <c r="N20" s="450"/>
      <c r="O20" s="450"/>
      <c r="P20" s="450"/>
      <c r="Q20" s="450"/>
      <c r="R20" s="450"/>
      <c r="S20" s="450"/>
      <c r="T20" s="450"/>
      <c r="U20" s="450"/>
      <c r="V20" s="450"/>
      <c r="W20" s="450"/>
      <c r="X20" s="450"/>
      <c r="Y20" s="450"/>
      <c r="Z20" s="450"/>
      <c r="AA20" s="450"/>
      <c r="AB20" s="450"/>
      <c r="AC20" s="450"/>
      <c r="AD20" s="450"/>
      <c r="AE20" s="450"/>
      <c r="AF20" s="450"/>
      <c r="AG20" s="450"/>
      <c r="AH20" s="450"/>
      <c r="AI20" s="450"/>
      <c r="AJ20" s="450"/>
      <c r="AK20" s="450"/>
      <c r="AL20" s="450"/>
      <c r="AM20" s="450"/>
      <c r="AN20" s="450"/>
      <c r="AO20" s="450"/>
      <c r="AP20" s="450"/>
      <c r="AQ20" s="450"/>
      <c r="AR20" s="450"/>
    </row>
    <row r="21" spans="1:44" ht="15" x14ac:dyDescent="0.25">
      <c r="A21" s="2" t="s">
        <v>271</v>
      </c>
      <c r="B21" s="380"/>
      <c r="C21" s="11"/>
      <c r="D21" s="459"/>
      <c r="E21" s="380"/>
      <c r="F21" s="417"/>
      <c r="G21" s="417"/>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row>
    <row r="22" spans="1:44" ht="15" x14ac:dyDescent="0.25">
      <c r="A22" s="2"/>
      <c r="B22" s="380" t="s">
        <v>351</v>
      </c>
      <c r="C22" s="52"/>
      <c r="D22" s="440"/>
      <c r="E22" s="380"/>
      <c r="F22" s="417"/>
      <c r="G22" s="417"/>
      <c r="H22" s="417"/>
      <c r="I22" s="417"/>
      <c r="J22" s="417"/>
      <c r="K22" s="417"/>
      <c r="L22" s="417"/>
      <c r="M22" s="417"/>
      <c r="N22" s="417"/>
      <c r="O22" s="417"/>
      <c r="P22" s="417"/>
      <c r="Q22" s="417"/>
      <c r="R22" s="417"/>
      <c r="S22" s="417"/>
      <c r="T22" s="417"/>
      <c r="U22" s="417"/>
      <c r="V22" s="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row>
    <row r="23" spans="1:44" ht="15" x14ac:dyDescent="0.25">
      <c r="A23" s="2"/>
      <c r="B23" s="380" t="s">
        <v>352</v>
      </c>
      <c r="C23" s="52"/>
      <c r="D23" s="440"/>
      <c r="E23" s="380"/>
      <c r="F23" s="417"/>
      <c r="G23" s="417"/>
      <c r="H23" s="417"/>
      <c r="I23" s="417"/>
      <c r="J23" s="417"/>
      <c r="K23" s="417"/>
      <c r="L23" s="417"/>
      <c r="M23" s="417"/>
      <c r="N23" s="417"/>
      <c r="O23" s="417"/>
      <c r="P23" s="417"/>
      <c r="Q23" s="417"/>
      <c r="R23" s="417"/>
      <c r="S23" s="417"/>
      <c r="T23" s="417"/>
      <c r="U23" s="417"/>
      <c r="V23" s="417"/>
      <c r="W23" s="417"/>
      <c r="X23" s="417"/>
      <c r="Y23" s="417"/>
      <c r="Z23" s="417"/>
      <c r="AA23" s="417"/>
      <c r="AB23" s="417"/>
      <c r="AC23" s="417"/>
      <c r="AD23" s="417"/>
      <c r="AE23" s="417"/>
      <c r="AF23" s="417"/>
      <c r="AG23" s="417"/>
      <c r="AH23" s="417"/>
      <c r="AI23" s="417"/>
      <c r="AJ23" s="417"/>
      <c r="AK23" s="417"/>
      <c r="AL23" s="417"/>
      <c r="AM23" s="417"/>
      <c r="AN23" s="417"/>
      <c r="AO23" s="417"/>
      <c r="AP23" s="417"/>
      <c r="AQ23" s="417"/>
      <c r="AR23" s="417"/>
    </row>
    <row r="24" spans="1:44" ht="15" x14ac:dyDescent="0.25">
      <c r="A24" s="2"/>
      <c r="B24" s="380" t="s">
        <v>353</v>
      </c>
      <c r="C24" s="52"/>
      <c r="D24" s="440"/>
      <c r="E24" s="380"/>
      <c r="F24" s="417"/>
      <c r="G24" s="417"/>
      <c r="H24" s="417"/>
      <c r="I24" s="417"/>
      <c r="J24" s="417"/>
      <c r="K24" s="417"/>
      <c r="L24" s="417"/>
      <c r="M24" s="417"/>
      <c r="N24" s="417"/>
      <c r="O24" s="417"/>
      <c r="P24" s="417"/>
      <c r="Q24" s="417"/>
      <c r="R24" s="417"/>
      <c r="S24" s="417"/>
      <c r="T24" s="417"/>
      <c r="U24" s="417"/>
      <c r="V24" s="417"/>
      <c r="W24" s="417"/>
      <c r="X24" s="417"/>
      <c r="Y24" s="417"/>
      <c r="Z24" s="417"/>
      <c r="AA24" s="417"/>
      <c r="AB24" s="417"/>
      <c r="AC24" s="417"/>
      <c r="AD24" s="417"/>
      <c r="AE24" s="417"/>
      <c r="AF24" s="417"/>
      <c r="AG24" s="417"/>
      <c r="AH24" s="417"/>
      <c r="AI24" s="417"/>
      <c r="AJ24" s="417"/>
      <c r="AK24" s="417"/>
      <c r="AL24" s="417"/>
      <c r="AM24" s="417"/>
      <c r="AN24" s="417"/>
      <c r="AO24" s="417"/>
      <c r="AP24" s="417"/>
      <c r="AQ24" s="417"/>
      <c r="AR24" s="417"/>
    </row>
    <row r="25" spans="1:44" x14ac:dyDescent="0.2">
      <c r="A25" s="380"/>
      <c r="B25" s="380" t="s">
        <v>320</v>
      </c>
      <c r="C25" s="11" t="s">
        <v>310</v>
      </c>
      <c r="D25" s="440">
        <f>SUM(F25:AR25)</f>
        <v>0</v>
      </c>
      <c r="E25" s="380"/>
      <c r="F25" s="417">
        <v>0</v>
      </c>
      <c r="G25" s="417">
        <v>0</v>
      </c>
      <c r="H25" s="417">
        <v>0</v>
      </c>
      <c r="I25" s="417">
        <v>0</v>
      </c>
      <c r="J25" s="417">
        <v>0</v>
      </c>
      <c r="K25" s="417">
        <v>0</v>
      </c>
      <c r="L25" s="417">
        <v>0</v>
      </c>
      <c r="M25" s="417">
        <v>0</v>
      </c>
      <c r="N25" s="417">
        <v>0</v>
      </c>
      <c r="O25" s="417">
        <v>0</v>
      </c>
      <c r="P25" s="417">
        <v>0</v>
      </c>
      <c r="Q25" s="417">
        <v>0</v>
      </c>
      <c r="R25" s="417">
        <v>0</v>
      </c>
      <c r="S25" s="417">
        <v>0</v>
      </c>
      <c r="T25" s="417">
        <v>0</v>
      </c>
      <c r="U25" s="417">
        <v>0</v>
      </c>
      <c r="V25" s="417">
        <v>0</v>
      </c>
      <c r="W25" s="417">
        <v>0</v>
      </c>
      <c r="X25" s="417">
        <v>0</v>
      </c>
      <c r="Y25" s="417">
        <v>0</v>
      </c>
      <c r="Z25" s="417">
        <v>0</v>
      </c>
      <c r="AA25" s="417">
        <v>0</v>
      </c>
      <c r="AB25" s="417">
        <v>0</v>
      </c>
      <c r="AC25" s="417">
        <v>0</v>
      </c>
      <c r="AD25" s="417">
        <v>0</v>
      </c>
      <c r="AE25" s="417">
        <v>0</v>
      </c>
      <c r="AF25" s="417">
        <v>0</v>
      </c>
      <c r="AG25" s="417">
        <v>0</v>
      </c>
      <c r="AH25" s="417">
        <v>0</v>
      </c>
      <c r="AI25" s="417">
        <v>0</v>
      </c>
      <c r="AJ25" s="417">
        <v>0</v>
      </c>
      <c r="AK25" s="417">
        <v>0</v>
      </c>
      <c r="AL25" s="417">
        <v>0</v>
      </c>
      <c r="AM25" s="417">
        <v>0</v>
      </c>
      <c r="AN25" s="417">
        <v>0</v>
      </c>
      <c r="AO25" s="417">
        <v>0</v>
      </c>
      <c r="AP25" s="417">
        <v>0</v>
      </c>
      <c r="AQ25" s="417">
        <v>0</v>
      </c>
      <c r="AR25" s="417">
        <v>0</v>
      </c>
    </row>
    <row r="26" spans="1:44" x14ac:dyDescent="0.2">
      <c r="A26" s="380"/>
      <c r="B26" s="380"/>
      <c r="C26" s="7"/>
      <c r="D26" s="380"/>
      <c r="E26" s="380"/>
      <c r="F26" s="380"/>
      <c r="G26" s="380"/>
      <c r="H26" s="380"/>
      <c r="I26" s="380"/>
      <c r="J26" s="380"/>
      <c r="K26" s="380"/>
      <c r="L26" s="380"/>
      <c r="M26" s="380"/>
      <c r="N26" s="380"/>
      <c r="O26" s="380"/>
      <c r="P26" s="380"/>
      <c r="Q26" s="380"/>
      <c r="R26" s="380"/>
      <c r="S26" s="380"/>
      <c r="T26" s="380"/>
      <c r="U26" s="380"/>
      <c r="V26" s="380"/>
      <c r="W26" s="380"/>
      <c r="X26" s="380"/>
      <c r="Y26" s="380"/>
      <c r="Z26" s="380"/>
      <c r="AA26" s="380"/>
      <c r="AB26" s="380"/>
      <c r="AC26" s="380"/>
      <c r="AD26" s="380"/>
      <c r="AE26" s="380"/>
      <c r="AF26" s="380"/>
      <c r="AG26" s="380"/>
      <c r="AH26" s="380"/>
      <c r="AI26" s="380"/>
      <c r="AJ26" s="380"/>
      <c r="AK26" s="380"/>
      <c r="AL26" s="380"/>
      <c r="AM26" s="380"/>
      <c r="AN26" s="380"/>
      <c r="AO26" s="380"/>
      <c r="AP26" s="380"/>
      <c r="AQ26" s="380"/>
      <c r="AR26" s="380"/>
    </row>
    <row r="27" spans="1:44" s="4" customFormat="1" x14ac:dyDescent="0.2">
      <c r="A27" s="449" t="s">
        <v>255</v>
      </c>
      <c r="B27" s="8"/>
      <c r="C27" s="8"/>
      <c r="D27" s="450"/>
      <c r="E27" s="450"/>
      <c r="F27" s="450"/>
      <c r="G27" s="450"/>
      <c r="H27" s="450"/>
      <c r="I27" s="450"/>
      <c r="J27" s="450"/>
      <c r="K27" s="450"/>
      <c r="L27" s="450"/>
      <c r="M27" s="450"/>
      <c r="N27" s="450"/>
      <c r="O27" s="450"/>
      <c r="P27" s="450"/>
      <c r="Q27" s="450"/>
      <c r="R27" s="450"/>
      <c r="S27" s="450"/>
      <c r="T27" s="450"/>
      <c r="U27" s="450"/>
      <c r="V27" s="450"/>
      <c r="W27" s="450"/>
      <c r="X27" s="450"/>
      <c r="Y27" s="450"/>
      <c r="Z27" s="450"/>
      <c r="AA27" s="450"/>
      <c r="AB27" s="450"/>
      <c r="AC27" s="450"/>
      <c r="AD27" s="450"/>
      <c r="AE27" s="450"/>
      <c r="AF27" s="450"/>
      <c r="AG27" s="450"/>
      <c r="AH27" s="450"/>
      <c r="AI27" s="450"/>
      <c r="AJ27" s="450"/>
      <c r="AK27" s="450"/>
      <c r="AL27" s="450"/>
      <c r="AM27" s="450"/>
      <c r="AN27" s="450"/>
      <c r="AO27" s="450"/>
      <c r="AP27" s="450"/>
      <c r="AQ27" s="450"/>
      <c r="AR27" s="450"/>
    </row>
    <row r="28" spans="1:44" x14ac:dyDescent="0.2">
      <c r="A28" s="380"/>
      <c r="B28" s="380"/>
      <c r="C28" s="11"/>
      <c r="D28" s="440"/>
      <c r="E28" s="380"/>
      <c r="F28" s="417"/>
      <c r="G28" s="417"/>
      <c r="H28" s="417"/>
      <c r="I28" s="417"/>
      <c r="J28" s="417"/>
      <c r="K28" s="417"/>
      <c r="L28" s="417"/>
      <c r="M28" s="417"/>
      <c r="N28" s="417"/>
      <c r="O28" s="417"/>
      <c r="P28" s="417"/>
      <c r="Q28" s="417"/>
      <c r="R28" s="417"/>
      <c r="S28" s="417"/>
      <c r="T28" s="417"/>
      <c r="U28" s="417"/>
      <c r="V28" s="417"/>
      <c r="W28" s="417"/>
      <c r="X28" s="417"/>
      <c r="Y28" s="417"/>
      <c r="Z28" s="417"/>
      <c r="AA28" s="417"/>
      <c r="AB28" s="417"/>
      <c r="AC28" s="417"/>
      <c r="AD28" s="417"/>
      <c r="AE28" s="417"/>
      <c r="AF28" s="417"/>
      <c r="AG28" s="417"/>
      <c r="AH28" s="417"/>
      <c r="AI28" s="417"/>
      <c r="AJ28" s="417"/>
      <c r="AK28" s="417"/>
      <c r="AL28" s="417"/>
      <c r="AM28" s="417"/>
      <c r="AN28" s="417"/>
      <c r="AO28" s="417"/>
      <c r="AP28" s="417"/>
      <c r="AQ28" s="417"/>
      <c r="AR28" s="417"/>
    </row>
    <row r="29" spans="1:44" ht="15" x14ac:dyDescent="0.25">
      <c r="A29" s="2" t="s">
        <v>366</v>
      </c>
      <c r="B29" s="380"/>
      <c r="C29" s="11"/>
      <c r="D29" s="468"/>
      <c r="E29" s="380"/>
      <c r="F29" s="463"/>
      <c r="G29" s="463"/>
      <c r="H29" s="463"/>
      <c r="I29" s="463"/>
      <c r="J29" s="463"/>
      <c r="K29" s="463"/>
      <c r="L29" s="463"/>
      <c r="M29" s="463"/>
      <c r="N29" s="463"/>
      <c r="O29" s="463"/>
      <c r="P29" s="463"/>
      <c r="Q29" s="463"/>
      <c r="R29" s="463"/>
      <c r="S29" s="463"/>
      <c r="T29" s="463"/>
      <c r="U29" s="463"/>
      <c r="V29" s="463"/>
      <c r="W29" s="463"/>
      <c r="X29" s="463"/>
      <c r="Y29" s="463"/>
      <c r="Z29" s="463"/>
      <c r="AA29" s="463"/>
      <c r="AB29" s="463"/>
      <c r="AC29" s="463"/>
      <c r="AD29" s="463"/>
      <c r="AE29" s="463"/>
      <c r="AF29" s="463"/>
      <c r="AG29" s="463"/>
      <c r="AH29" s="463"/>
      <c r="AI29" s="463"/>
      <c r="AJ29" s="463"/>
      <c r="AK29" s="463"/>
      <c r="AL29" s="463"/>
      <c r="AM29" s="463"/>
      <c r="AN29" s="463"/>
      <c r="AO29" s="463"/>
      <c r="AP29" s="463"/>
      <c r="AQ29" s="463"/>
      <c r="AR29" s="463"/>
    </row>
    <row r="30" spans="1:44" ht="15" x14ac:dyDescent="0.25">
      <c r="A30" s="2"/>
      <c r="B30" s="380" t="str">
        <f>Traffic!B81</f>
        <v>Induced Pedestrian Trips</v>
      </c>
      <c r="C30" s="11" t="s">
        <v>196</v>
      </c>
      <c r="D30" s="466">
        <f>SUM(F30:AR30)</f>
        <v>2677.7928500000003</v>
      </c>
      <c r="E30" s="380"/>
      <c r="F30" s="463">
        <f>Traffic!F81</f>
        <v>0</v>
      </c>
      <c r="G30" s="463">
        <f>Traffic!G81</f>
        <v>0</v>
      </c>
      <c r="H30" s="463">
        <f>Traffic!H81</f>
        <v>0</v>
      </c>
      <c r="I30" s="463">
        <f>Traffic!I81</f>
        <v>0</v>
      </c>
      <c r="J30" s="463">
        <f>Traffic!J81</f>
        <v>0</v>
      </c>
      <c r="K30" s="463">
        <f>Traffic!K81</f>
        <v>0</v>
      </c>
      <c r="L30" s="463">
        <f>Traffic!L81</f>
        <v>0</v>
      </c>
      <c r="M30" s="463">
        <f>Traffic!M81</f>
        <v>0</v>
      </c>
      <c r="N30" s="463">
        <f>Traffic!N81</f>
        <v>0</v>
      </c>
      <c r="O30" s="463">
        <f>Traffic!O81</f>
        <v>40.050399999999982</v>
      </c>
      <c r="P30" s="463">
        <f>Traffic!P81</f>
        <v>60.653249999999971</v>
      </c>
      <c r="Q30" s="463">
        <f>Traffic!Q81</f>
        <v>81.641199999999955</v>
      </c>
      <c r="R30" s="463">
        <f>Traffic!R81</f>
        <v>82.411399999999958</v>
      </c>
      <c r="S30" s="463">
        <f>Traffic!S81</f>
        <v>83.18159999999996</v>
      </c>
      <c r="T30" s="463">
        <f>Traffic!T81</f>
        <v>83.951799999999963</v>
      </c>
      <c r="U30" s="463">
        <f>Traffic!U81</f>
        <v>84.721999999999966</v>
      </c>
      <c r="V30" s="463">
        <f>Traffic!V81</f>
        <v>85.492199999999983</v>
      </c>
      <c r="W30" s="463">
        <f>Traffic!W81</f>
        <v>86.262399999999985</v>
      </c>
      <c r="X30" s="463">
        <f>Traffic!X81</f>
        <v>87.032599999999988</v>
      </c>
      <c r="Y30" s="463">
        <f>Traffic!Y81</f>
        <v>87.802799999999991</v>
      </c>
      <c r="Z30" s="463">
        <f>Traffic!Z81</f>
        <v>88.572999999999993</v>
      </c>
      <c r="AA30" s="463">
        <f>Traffic!AA81</f>
        <v>89.343199999999996</v>
      </c>
      <c r="AB30" s="463">
        <f>Traffic!AB81</f>
        <v>90.113399999999999</v>
      </c>
      <c r="AC30" s="463">
        <f>Traffic!AC81</f>
        <v>90.883600000000001</v>
      </c>
      <c r="AD30" s="463">
        <f>Traffic!AD81</f>
        <v>91.653800000000018</v>
      </c>
      <c r="AE30" s="463">
        <f>Traffic!AE81</f>
        <v>92.424000000000021</v>
      </c>
      <c r="AF30" s="463">
        <f>Traffic!AF81</f>
        <v>93.194200000000023</v>
      </c>
      <c r="AG30" s="463">
        <f>Traffic!AG81</f>
        <v>93.964400000000026</v>
      </c>
      <c r="AH30" s="463">
        <f>Traffic!AH81</f>
        <v>94.734600000000029</v>
      </c>
      <c r="AI30" s="463">
        <f>Traffic!AI81</f>
        <v>95.504800000000031</v>
      </c>
      <c r="AJ30" s="463">
        <f>Traffic!AJ81</f>
        <v>96.275000000000034</v>
      </c>
      <c r="AK30" s="463">
        <f>Traffic!AK81</f>
        <v>97.045200000000037</v>
      </c>
      <c r="AL30" s="463">
        <f>Traffic!AL81</f>
        <v>97.815400000000054</v>
      </c>
      <c r="AM30" s="463">
        <f>Traffic!AM81</f>
        <v>98.585600000000056</v>
      </c>
      <c r="AN30" s="463">
        <f>Traffic!AN81</f>
        <v>99.355800000000059</v>
      </c>
      <c r="AO30" s="463">
        <f>Traffic!AO81</f>
        <v>100.12600000000006</v>
      </c>
      <c r="AP30" s="463">
        <f>Traffic!AP81</f>
        <v>100.89620000000006</v>
      </c>
      <c r="AQ30" s="463">
        <f>Traffic!AQ81</f>
        <v>101.66640000000007</v>
      </c>
      <c r="AR30" s="463">
        <f>Traffic!AR81</f>
        <v>102.43660000000007</v>
      </c>
    </row>
    <row r="31" spans="1:44" x14ac:dyDescent="0.2">
      <c r="A31" s="380"/>
      <c r="B31" s="380" t="str">
        <f>Inputs!C162</f>
        <v>Induced Active Transporation Mode - Walking</v>
      </c>
      <c r="C31" s="11" t="s">
        <v>367</v>
      </c>
      <c r="D31" s="469">
        <f>Inputs!E162</f>
        <v>8.06</v>
      </c>
      <c r="E31" s="380"/>
      <c r="F31" s="463"/>
      <c r="G31" s="463"/>
      <c r="H31" s="463"/>
      <c r="I31" s="463"/>
      <c r="J31" s="463"/>
      <c r="K31" s="463"/>
      <c r="L31" s="463"/>
      <c r="M31" s="463"/>
      <c r="N31" s="463"/>
      <c r="O31" s="463"/>
      <c r="P31" s="463"/>
      <c r="Q31" s="463"/>
      <c r="R31" s="463"/>
      <c r="S31" s="463"/>
      <c r="T31" s="463"/>
      <c r="U31" s="463"/>
      <c r="V31" s="463"/>
      <c r="W31" s="463"/>
      <c r="X31" s="463"/>
      <c r="Y31" s="463"/>
      <c r="Z31" s="463"/>
      <c r="AA31" s="463"/>
      <c r="AB31" s="463"/>
      <c r="AC31" s="463"/>
      <c r="AD31" s="463"/>
      <c r="AE31" s="463"/>
      <c r="AF31" s="463"/>
      <c r="AG31" s="463"/>
      <c r="AH31" s="463"/>
      <c r="AI31" s="463"/>
      <c r="AJ31" s="463"/>
      <c r="AK31" s="463"/>
      <c r="AL31" s="463"/>
      <c r="AM31" s="463"/>
      <c r="AN31" s="463"/>
      <c r="AO31" s="463"/>
      <c r="AP31" s="463"/>
      <c r="AQ31" s="463"/>
      <c r="AR31" s="463"/>
    </row>
    <row r="32" spans="1:44" x14ac:dyDescent="0.2">
      <c r="A32" s="380"/>
      <c r="B32" s="380" t="s">
        <v>368</v>
      </c>
      <c r="C32" s="11" t="s">
        <v>318</v>
      </c>
      <c r="D32" s="470">
        <f>SUM(F32:AR32)</f>
        <v>21583.010371000004</v>
      </c>
      <c r="E32" s="380"/>
      <c r="F32" s="463">
        <f t="shared" ref="F32:AR32" si="12">F30*$D$31</f>
        <v>0</v>
      </c>
      <c r="G32" s="463">
        <f t="shared" si="12"/>
        <v>0</v>
      </c>
      <c r="H32" s="463">
        <f t="shared" si="12"/>
        <v>0</v>
      </c>
      <c r="I32" s="463">
        <f t="shared" si="12"/>
        <v>0</v>
      </c>
      <c r="J32" s="463">
        <f t="shared" si="12"/>
        <v>0</v>
      </c>
      <c r="K32" s="463">
        <f t="shared" si="12"/>
        <v>0</v>
      </c>
      <c r="L32" s="463">
        <f t="shared" si="12"/>
        <v>0</v>
      </c>
      <c r="M32" s="463">
        <f t="shared" si="12"/>
        <v>0</v>
      </c>
      <c r="N32" s="463">
        <f t="shared" si="12"/>
        <v>0</v>
      </c>
      <c r="O32" s="463">
        <f t="shared" si="12"/>
        <v>322.80622399999987</v>
      </c>
      <c r="P32" s="463">
        <f t="shared" si="12"/>
        <v>488.8651949999998</v>
      </c>
      <c r="Q32" s="463">
        <f t="shared" si="12"/>
        <v>658.02807199999972</v>
      </c>
      <c r="R32" s="463">
        <f t="shared" si="12"/>
        <v>664.23588399999971</v>
      </c>
      <c r="S32" s="463">
        <f t="shared" si="12"/>
        <v>670.4436959999997</v>
      </c>
      <c r="T32" s="463">
        <f t="shared" si="12"/>
        <v>676.65150799999969</v>
      </c>
      <c r="U32" s="463">
        <f t="shared" si="12"/>
        <v>682.8593199999998</v>
      </c>
      <c r="V32" s="463">
        <f t="shared" si="12"/>
        <v>689.0671319999999</v>
      </c>
      <c r="W32" s="463">
        <f t="shared" si="12"/>
        <v>695.27494399999989</v>
      </c>
      <c r="X32" s="463">
        <f t="shared" si="12"/>
        <v>701.48275599999999</v>
      </c>
      <c r="Y32" s="463">
        <f t="shared" si="12"/>
        <v>707.69056799999998</v>
      </c>
      <c r="Z32" s="463">
        <f t="shared" si="12"/>
        <v>713.89837999999997</v>
      </c>
      <c r="AA32" s="463">
        <f t="shared" si="12"/>
        <v>720.10619199999996</v>
      </c>
      <c r="AB32" s="463">
        <f t="shared" si="12"/>
        <v>726.31400400000007</v>
      </c>
      <c r="AC32" s="463">
        <f t="shared" si="12"/>
        <v>732.52181600000006</v>
      </c>
      <c r="AD32" s="463">
        <f t="shared" si="12"/>
        <v>738.72962800000016</v>
      </c>
      <c r="AE32" s="463">
        <f t="shared" si="12"/>
        <v>744.93744000000027</v>
      </c>
      <c r="AF32" s="463">
        <f t="shared" si="12"/>
        <v>751.14525200000026</v>
      </c>
      <c r="AG32" s="463">
        <f t="shared" si="12"/>
        <v>757.35306400000024</v>
      </c>
      <c r="AH32" s="463">
        <f t="shared" si="12"/>
        <v>763.56087600000023</v>
      </c>
      <c r="AI32" s="463">
        <f t="shared" si="12"/>
        <v>769.76868800000034</v>
      </c>
      <c r="AJ32" s="463">
        <f t="shared" si="12"/>
        <v>775.97650000000033</v>
      </c>
      <c r="AK32" s="463">
        <f t="shared" si="12"/>
        <v>782.18431200000032</v>
      </c>
      <c r="AL32" s="463">
        <f t="shared" si="12"/>
        <v>788.39212400000054</v>
      </c>
      <c r="AM32" s="463">
        <f t="shared" si="12"/>
        <v>794.59993600000053</v>
      </c>
      <c r="AN32" s="463">
        <f t="shared" si="12"/>
        <v>800.80774800000052</v>
      </c>
      <c r="AO32" s="463">
        <f t="shared" si="12"/>
        <v>807.01556000000051</v>
      </c>
      <c r="AP32" s="463">
        <f t="shared" si="12"/>
        <v>813.22337200000061</v>
      </c>
      <c r="AQ32" s="463">
        <f t="shared" si="12"/>
        <v>819.4311840000006</v>
      </c>
      <c r="AR32" s="463">
        <f t="shared" si="12"/>
        <v>825.63899600000059</v>
      </c>
    </row>
    <row r="33" spans="1:44" x14ac:dyDescent="0.2">
      <c r="A33" s="380"/>
      <c r="B33" s="380" t="s">
        <v>369</v>
      </c>
      <c r="C33" s="52" t="s">
        <v>80</v>
      </c>
      <c r="D33" s="440">
        <f>Inputs!$E$158</f>
        <v>200</v>
      </c>
      <c r="E33" s="380"/>
      <c r="F33" s="463"/>
      <c r="G33" s="463"/>
      <c r="H33" s="463"/>
      <c r="I33" s="463"/>
      <c r="J33" s="463"/>
      <c r="K33" s="463"/>
      <c r="L33" s="463"/>
      <c r="M33" s="463"/>
      <c r="N33" s="463"/>
      <c r="O33" s="463"/>
      <c r="P33" s="463"/>
      <c r="Q33" s="463"/>
      <c r="R33" s="463"/>
      <c r="S33" s="463"/>
      <c r="T33" s="463"/>
      <c r="U33" s="463"/>
      <c r="V33" s="463"/>
      <c r="W33" s="463"/>
      <c r="X33" s="463"/>
      <c r="Y33" s="463"/>
      <c r="Z33" s="463"/>
      <c r="AA33" s="463"/>
      <c r="AB33" s="463"/>
      <c r="AC33" s="463"/>
      <c r="AD33" s="463"/>
      <c r="AE33" s="463"/>
      <c r="AF33" s="463"/>
      <c r="AG33" s="463"/>
      <c r="AH33" s="463"/>
      <c r="AI33" s="463"/>
      <c r="AJ33" s="463"/>
      <c r="AK33" s="463"/>
      <c r="AL33" s="463"/>
      <c r="AM33" s="463"/>
      <c r="AN33" s="463"/>
      <c r="AO33" s="463"/>
      <c r="AP33" s="463"/>
      <c r="AQ33" s="463"/>
      <c r="AR33" s="463"/>
    </row>
    <row r="34" spans="1:44" x14ac:dyDescent="0.2">
      <c r="A34" s="380"/>
      <c r="B34" s="380" t="s">
        <v>368</v>
      </c>
      <c r="C34" s="11" t="s">
        <v>310</v>
      </c>
      <c r="D34" s="470">
        <f>SUM(F34:AR34)</f>
        <v>4316602.0742000006</v>
      </c>
      <c r="E34" s="380"/>
      <c r="F34" s="463">
        <f t="shared" ref="F34:M34" si="13">F32*$D$33</f>
        <v>0</v>
      </c>
      <c r="G34" s="463">
        <f t="shared" si="13"/>
        <v>0</v>
      </c>
      <c r="H34" s="463">
        <f t="shared" si="13"/>
        <v>0</v>
      </c>
      <c r="I34" s="463">
        <f t="shared" si="13"/>
        <v>0</v>
      </c>
      <c r="J34" s="463">
        <f t="shared" si="13"/>
        <v>0</v>
      </c>
      <c r="K34" s="463">
        <f t="shared" si="13"/>
        <v>0</v>
      </c>
      <c r="L34" s="463">
        <f t="shared" si="13"/>
        <v>0</v>
      </c>
      <c r="M34" s="463">
        <f t="shared" si="13"/>
        <v>0</v>
      </c>
      <c r="N34" s="463">
        <f>N32*$D$33</f>
        <v>0</v>
      </c>
      <c r="O34" s="463">
        <f t="shared" ref="O34:AR34" si="14">O32*$D$33</f>
        <v>64561.244799999971</v>
      </c>
      <c r="P34" s="463">
        <f t="shared" si="14"/>
        <v>97773.038999999961</v>
      </c>
      <c r="Q34" s="463">
        <f t="shared" si="14"/>
        <v>131605.61439999993</v>
      </c>
      <c r="R34" s="463">
        <f t="shared" si="14"/>
        <v>132847.17679999996</v>
      </c>
      <c r="S34" s="463">
        <f t="shared" si="14"/>
        <v>134088.73919999995</v>
      </c>
      <c r="T34" s="463">
        <f t="shared" si="14"/>
        <v>135330.30159999995</v>
      </c>
      <c r="U34" s="463">
        <f t="shared" si="14"/>
        <v>136571.86399999997</v>
      </c>
      <c r="V34" s="463">
        <f t="shared" si="14"/>
        <v>137813.42639999997</v>
      </c>
      <c r="W34" s="463">
        <f t="shared" si="14"/>
        <v>139054.98879999999</v>
      </c>
      <c r="X34" s="463">
        <f t="shared" si="14"/>
        <v>140296.55119999999</v>
      </c>
      <c r="Y34" s="463">
        <f t="shared" si="14"/>
        <v>141538.11359999998</v>
      </c>
      <c r="Z34" s="463">
        <f t="shared" si="14"/>
        <v>142779.67600000001</v>
      </c>
      <c r="AA34" s="463">
        <f t="shared" si="14"/>
        <v>144021.2384</v>
      </c>
      <c r="AB34" s="463">
        <f t="shared" si="14"/>
        <v>145262.80080000003</v>
      </c>
      <c r="AC34" s="463">
        <f t="shared" si="14"/>
        <v>146504.36320000002</v>
      </c>
      <c r="AD34" s="463">
        <f t="shared" si="14"/>
        <v>147745.92560000005</v>
      </c>
      <c r="AE34" s="463">
        <f t="shared" si="14"/>
        <v>148987.48800000004</v>
      </c>
      <c r="AF34" s="463">
        <f t="shared" si="14"/>
        <v>150229.05040000007</v>
      </c>
      <c r="AG34" s="463">
        <f t="shared" si="14"/>
        <v>151470.61280000006</v>
      </c>
      <c r="AH34" s="463">
        <f t="shared" si="14"/>
        <v>152712.17520000006</v>
      </c>
      <c r="AI34" s="463">
        <f t="shared" si="14"/>
        <v>153953.73760000008</v>
      </c>
      <c r="AJ34" s="463">
        <f t="shared" si="14"/>
        <v>155195.30000000008</v>
      </c>
      <c r="AK34" s="463">
        <f t="shared" si="14"/>
        <v>156436.86240000007</v>
      </c>
      <c r="AL34" s="463">
        <f t="shared" si="14"/>
        <v>157678.4248000001</v>
      </c>
      <c r="AM34" s="463">
        <f t="shared" si="14"/>
        <v>158919.98720000009</v>
      </c>
      <c r="AN34" s="463">
        <f t="shared" si="14"/>
        <v>160161.54960000011</v>
      </c>
      <c r="AO34" s="463">
        <f t="shared" si="14"/>
        <v>161403.11200000011</v>
      </c>
      <c r="AP34" s="463">
        <f t="shared" si="14"/>
        <v>162644.67440000013</v>
      </c>
      <c r="AQ34" s="463">
        <f t="shared" si="14"/>
        <v>163886.23680000013</v>
      </c>
      <c r="AR34" s="463">
        <f t="shared" si="14"/>
        <v>165127.79920000012</v>
      </c>
    </row>
    <row r="35" spans="1:44" x14ac:dyDescent="0.2">
      <c r="A35" s="380"/>
      <c r="B35" s="380"/>
      <c r="C35" s="11"/>
      <c r="D35" s="440"/>
      <c r="E35" s="380"/>
      <c r="F35" s="417"/>
      <c r="G35" s="417"/>
      <c r="H35" s="417"/>
      <c r="I35" s="417"/>
      <c r="J35" s="417"/>
      <c r="K35" s="417"/>
      <c r="L35" s="417"/>
      <c r="M35" s="417"/>
      <c r="N35" s="417"/>
      <c r="O35" s="417"/>
      <c r="P35" s="417"/>
      <c r="Q35" s="417"/>
      <c r="R35" s="417"/>
      <c r="S35" s="417"/>
      <c r="T35" s="417"/>
      <c r="U35" s="417"/>
      <c r="V35" s="417"/>
      <c r="W35" s="417"/>
      <c r="X35" s="417"/>
      <c r="Y35" s="417"/>
      <c r="Z35" s="417"/>
      <c r="AA35" s="417"/>
      <c r="AB35" s="417"/>
      <c r="AC35" s="417"/>
      <c r="AD35" s="417"/>
      <c r="AE35" s="417"/>
      <c r="AF35" s="417"/>
      <c r="AG35" s="417"/>
      <c r="AH35" s="417"/>
      <c r="AI35" s="417"/>
      <c r="AJ35" s="417"/>
      <c r="AK35" s="417"/>
      <c r="AL35" s="417"/>
      <c r="AM35" s="417"/>
      <c r="AN35" s="417"/>
      <c r="AO35" s="417"/>
      <c r="AP35" s="417"/>
      <c r="AQ35" s="417"/>
      <c r="AR35" s="417"/>
    </row>
    <row r="36" spans="1:44" ht="15" x14ac:dyDescent="0.25">
      <c r="A36" s="2" t="s">
        <v>297</v>
      </c>
      <c r="B36" s="380"/>
      <c r="C36" s="11" t="s">
        <v>310</v>
      </c>
      <c r="D36" s="440">
        <f>SUM(F36:AR36)</f>
        <v>4316602.0742000006</v>
      </c>
      <c r="E36" s="380"/>
      <c r="F36" s="417">
        <f t="shared" ref="F36:AR36" si="15">F34-F25</f>
        <v>0</v>
      </c>
      <c r="G36" s="417">
        <f t="shared" si="15"/>
        <v>0</v>
      </c>
      <c r="H36" s="417">
        <f t="shared" si="15"/>
        <v>0</v>
      </c>
      <c r="I36" s="417">
        <f t="shared" si="15"/>
        <v>0</v>
      </c>
      <c r="J36" s="417">
        <f t="shared" si="15"/>
        <v>0</v>
      </c>
      <c r="K36" s="417">
        <f t="shared" si="15"/>
        <v>0</v>
      </c>
      <c r="L36" s="417">
        <f t="shared" si="15"/>
        <v>0</v>
      </c>
      <c r="M36" s="417">
        <f t="shared" si="15"/>
        <v>0</v>
      </c>
      <c r="N36" s="417">
        <f t="shared" si="15"/>
        <v>0</v>
      </c>
      <c r="O36" s="417">
        <f t="shared" si="15"/>
        <v>64561.244799999971</v>
      </c>
      <c r="P36" s="417">
        <f t="shared" si="15"/>
        <v>97773.038999999961</v>
      </c>
      <c r="Q36" s="417">
        <f t="shared" si="15"/>
        <v>131605.61439999993</v>
      </c>
      <c r="R36" s="417">
        <f t="shared" si="15"/>
        <v>132847.17679999996</v>
      </c>
      <c r="S36" s="417">
        <f t="shared" si="15"/>
        <v>134088.73919999995</v>
      </c>
      <c r="T36" s="417">
        <f t="shared" si="15"/>
        <v>135330.30159999995</v>
      </c>
      <c r="U36" s="417">
        <f t="shared" si="15"/>
        <v>136571.86399999997</v>
      </c>
      <c r="V36" s="417">
        <f t="shared" si="15"/>
        <v>137813.42639999997</v>
      </c>
      <c r="W36" s="417">
        <f t="shared" si="15"/>
        <v>139054.98879999999</v>
      </c>
      <c r="X36" s="417">
        <f t="shared" si="15"/>
        <v>140296.55119999999</v>
      </c>
      <c r="Y36" s="417">
        <f t="shared" si="15"/>
        <v>141538.11359999998</v>
      </c>
      <c r="Z36" s="417">
        <f t="shared" si="15"/>
        <v>142779.67600000001</v>
      </c>
      <c r="AA36" s="417">
        <f t="shared" si="15"/>
        <v>144021.2384</v>
      </c>
      <c r="AB36" s="417">
        <f t="shared" si="15"/>
        <v>145262.80080000003</v>
      </c>
      <c r="AC36" s="417">
        <f t="shared" si="15"/>
        <v>146504.36320000002</v>
      </c>
      <c r="AD36" s="417">
        <f t="shared" si="15"/>
        <v>147745.92560000005</v>
      </c>
      <c r="AE36" s="417">
        <f t="shared" si="15"/>
        <v>148987.48800000004</v>
      </c>
      <c r="AF36" s="417">
        <f t="shared" si="15"/>
        <v>150229.05040000007</v>
      </c>
      <c r="AG36" s="417">
        <f t="shared" si="15"/>
        <v>151470.61280000006</v>
      </c>
      <c r="AH36" s="417">
        <f t="shared" si="15"/>
        <v>152712.17520000006</v>
      </c>
      <c r="AI36" s="417">
        <f t="shared" si="15"/>
        <v>153953.73760000008</v>
      </c>
      <c r="AJ36" s="417">
        <f t="shared" si="15"/>
        <v>155195.30000000008</v>
      </c>
      <c r="AK36" s="417">
        <f t="shared" si="15"/>
        <v>156436.86240000007</v>
      </c>
      <c r="AL36" s="417">
        <f t="shared" si="15"/>
        <v>157678.4248000001</v>
      </c>
      <c r="AM36" s="417">
        <f t="shared" si="15"/>
        <v>158919.98720000009</v>
      </c>
      <c r="AN36" s="417">
        <f t="shared" si="15"/>
        <v>160161.54960000011</v>
      </c>
      <c r="AO36" s="417">
        <f t="shared" si="15"/>
        <v>161403.11200000011</v>
      </c>
      <c r="AP36" s="417">
        <f t="shared" si="15"/>
        <v>162644.67440000013</v>
      </c>
      <c r="AQ36" s="417">
        <f t="shared" si="15"/>
        <v>163886.23680000013</v>
      </c>
      <c r="AR36" s="417">
        <f t="shared" si="15"/>
        <v>165127.79920000012</v>
      </c>
    </row>
    <row r="37" spans="1:44" x14ac:dyDescent="0.2">
      <c r="A37" s="380"/>
      <c r="B37" s="380"/>
      <c r="C37" s="11"/>
      <c r="D37" s="440"/>
      <c r="E37" s="380"/>
      <c r="F37" s="417"/>
      <c r="G37" s="417"/>
      <c r="H37" s="417"/>
      <c r="I37" s="417"/>
      <c r="J37" s="417"/>
      <c r="K37" s="417"/>
      <c r="L37" s="417"/>
      <c r="M37" s="417"/>
      <c r="N37" s="417"/>
      <c r="O37" s="417"/>
      <c r="P37" s="417"/>
      <c r="Q37" s="417"/>
      <c r="R37" s="417"/>
      <c r="S37" s="417"/>
      <c r="T37" s="417"/>
      <c r="U37" s="417"/>
      <c r="V37" s="417"/>
      <c r="W37" s="417"/>
      <c r="X37" s="417"/>
      <c r="Y37" s="417"/>
      <c r="Z37" s="417"/>
      <c r="AA37" s="417"/>
      <c r="AB37" s="417"/>
      <c r="AC37" s="417"/>
      <c r="AD37" s="417"/>
      <c r="AE37" s="417"/>
      <c r="AF37" s="417"/>
      <c r="AG37" s="417"/>
      <c r="AH37" s="417"/>
      <c r="AI37" s="417"/>
      <c r="AJ37" s="417"/>
      <c r="AK37" s="417"/>
      <c r="AL37" s="417"/>
      <c r="AM37" s="417"/>
      <c r="AN37" s="417"/>
      <c r="AO37" s="417"/>
      <c r="AP37" s="417"/>
      <c r="AQ37" s="417"/>
      <c r="AR37" s="417"/>
    </row>
    <row r="38" spans="1:44" x14ac:dyDescent="0.2">
      <c r="A38" s="380"/>
      <c r="B38" s="380"/>
      <c r="C38" s="52"/>
      <c r="D38" s="440"/>
      <c r="E38" s="380"/>
      <c r="F38" s="417"/>
      <c r="G38" s="417"/>
      <c r="H38" s="417"/>
      <c r="I38" s="417"/>
      <c r="J38" s="417"/>
      <c r="K38" s="417"/>
      <c r="L38" s="417"/>
      <c r="M38" s="417"/>
      <c r="N38" s="417"/>
      <c r="O38" s="417"/>
      <c r="P38" s="417"/>
      <c r="Q38" s="417"/>
      <c r="R38" s="417"/>
      <c r="S38" s="417"/>
      <c r="T38" s="417"/>
      <c r="U38" s="417"/>
      <c r="V38" s="417"/>
      <c r="W38" s="417"/>
      <c r="X38" s="417"/>
      <c r="Y38" s="417"/>
      <c r="Z38" s="417"/>
      <c r="AA38" s="417"/>
      <c r="AB38" s="417"/>
      <c r="AC38" s="417"/>
      <c r="AD38" s="417"/>
      <c r="AE38" s="417"/>
      <c r="AF38" s="417"/>
      <c r="AG38" s="417"/>
      <c r="AH38" s="417"/>
      <c r="AI38" s="417"/>
      <c r="AJ38" s="417"/>
      <c r="AK38" s="417"/>
      <c r="AL38" s="417"/>
      <c r="AM38" s="417"/>
      <c r="AN38" s="417"/>
      <c r="AO38" s="417"/>
      <c r="AP38" s="417"/>
      <c r="AQ38" s="417"/>
      <c r="AR38" s="417"/>
    </row>
    <row r="39" spans="1:44" s="4" customFormat="1" x14ac:dyDescent="0.2">
      <c r="A39" s="449" t="s">
        <v>296</v>
      </c>
      <c r="B39" s="449"/>
      <c r="C39" s="8"/>
      <c r="D39" s="450"/>
      <c r="E39" s="450"/>
      <c r="F39" s="450"/>
      <c r="G39" s="450"/>
      <c r="H39" s="450"/>
      <c r="I39" s="450"/>
      <c r="J39" s="450"/>
      <c r="K39" s="450"/>
      <c r="L39" s="450"/>
      <c r="M39" s="450"/>
      <c r="N39" s="450"/>
      <c r="O39" s="450"/>
      <c r="P39" s="450"/>
      <c r="Q39" s="450"/>
      <c r="R39" s="450"/>
      <c r="S39" s="450"/>
      <c r="T39" s="450"/>
      <c r="U39" s="450"/>
      <c r="V39" s="450"/>
      <c r="W39" s="450"/>
      <c r="X39" s="450"/>
      <c r="Y39" s="450"/>
      <c r="Z39" s="450"/>
      <c r="AA39" s="450"/>
      <c r="AB39" s="450"/>
      <c r="AC39" s="450"/>
      <c r="AD39" s="450"/>
      <c r="AE39" s="450"/>
      <c r="AF39" s="450"/>
      <c r="AG39" s="450"/>
      <c r="AH39" s="450"/>
      <c r="AI39" s="450"/>
      <c r="AJ39" s="450"/>
      <c r="AK39" s="450"/>
      <c r="AL39" s="450"/>
      <c r="AM39" s="450"/>
      <c r="AN39" s="450"/>
      <c r="AO39" s="450"/>
      <c r="AP39" s="450"/>
      <c r="AQ39" s="450"/>
      <c r="AR39" s="450"/>
    </row>
    <row r="40" spans="1:44" ht="15" x14ac:dyDescent="0.25">
      <c r="A40" s="2" t="s">
        <v>297</v>
      </c>
      <c r="B40" s="380"/>
      <c r="C40" s="380"/>
      <c r="D40" s="380"/>
      <c r="E40" s="380"/>
      <c r="F40" s="417"/>
      <c r="G40" s="417"/>
      <c r="H40" s="417"/>
      <c r="I40" s="417"/>
      <c r="J40" s="417"/>
      <c r="K40" s="417"/>
      <c r="L40" s="417"/>
      <c r="M40" s="417"/>
      <c r="N40" s="417"/>
      <c r="O40" s="417"/>
      <c r="P40" s="417"/>
      <c r="Q40" s="417"/>
      <c r="R40" s="417"/>
      <c r="S40" s="417"/>
      <c r="T40" s="417"/>
      <c r="U40" s="417"/>
      <c r="V40" s="417"/>
      <c r="W40" s="417"/>
      <c r="X40" s="417"/>
      <c r="Y40" s="417"/>
      <c r="Z40" s="417"/>
      <c r="AA40" s="417"/>
      <c r="AB40" s="417"/>
      <c r="AC40" s="417"/>
      <c r="AD40" s="417"/>
      <c r="AE40" s="417"/>
      <c r="AF40" s="417"/>
      <c r="AG40" s="417"/>
      <c r="AH40" s="417"/>
      <c r="AI40" s="417"/>
      <c r="AJ40" s="417"/>
      <c r="AK40" s="417"/>
      <c r="AL40" s="417"/>
      <c r="AM40" s="417"/>
      <c r="AN40" s="417"/>
      <c r="AO40" s="417"/>
      <c r="AP40" s="417"/>
      <c r="AQ40" s="417"/>
      <c r="AR40" s="417"/>
    </row>
    <row r="41" spans="1:44" x14ac:dyDescent="0.2">
      <c r="A41" s="380"/>
      <c r="B41" s="380" t="s">
        <v>252</v>
      </c>
      <c r="C41" s="52" t="s">
        <v>86</v>
      </c>
      <c r="D41" s="440">
        <f>SUM(F41:AR41)</f>
        <v>2721194.3901999998</v>
      </c>
      <c r="E41" s="380"/>
      <c r="F41" s="417">
        <f t="shared" ref="F41:AR41" si="16">(F$36-F$25)*F15*F$11</f>
        <v>0</v>
      </c>
      <c r="G41" s="417">
        <f t="shared" si="16"/>
        <v>0</v>
      </c>
      <c r="H41" s="417">
        <f t="shared" si="16"/>
        <v>0</v>
      </c>
      <c r="I41" s="417">
        <f t="shared" si="16"/>
        <v>0</v>
      </c>
      <c r="J41" s="417">
        <f t="shared" si="16"/>
        <v>0</v>
      </c>
      <c r="K41" s="417">
        <f t="shared" si="16"/>
        <v>0</v>
      </c>
      <c r="L41" s="417">
        <f t="shared" si="16"/>
        <v>0</v>
      </c>
      <c r="M41" s="417">
        <f t="shared" si="16"/>
        <v>0</v>
      </c>
      <c r="N41" s="417">
        <f t="shared" si="16"/>
        <v>0</v>
      </c>
      <c r="O41" s="417">
        <f t="shared" si="16"/>
        <v>64561.244799999971</v>
      </c>
      <c r="P41" s="417">
        <f t="shared" si="16"/>
        <v>97773.038999999961</v>
      </c>
      <c r="Q41" s="417">
        <f t="shared" si="16"/>
        <v>131605.61439999993</v>
      </c>
      <c r="R41" s="417">
        <f t="shared" si="16"/>
        <v>132847.17679999996</v>
      </c>
      <c r="S41" s="417">
        <f t="shared" si="16"/>
        <v>134088.73919999995</v>
      </c>
      <c r="T41" s="417">
        <f t="shared" si="16"/>
        <v>135330.30159999995</v>
      </c>
      <c r="U41" s="417">
        <f t="shared" si="16"/>
        <v>136571.86399999997</v>
      </c>
      <c r="V41" s="417">
        <f t="shared" si="16"/>
        <v>137813.42639999997</v>
      </c>
      <c r="W41" s="417">
        <f t="shared" si="16"/>
        <v>139054.98879999999</v>
      </c>
      <c r="X41" s="417">
        <f t="shared" si="16"/>
        <v>140296.55119999999</v>
      </c>
      <c r="Y41" s="417">
        <f t="shared" si="16"/>
        <v>141538.11359999998</v>
      </c>
      <c r="Z41" s="417">
        <f t="shared" si="16"/>
        <v>142779.67600000001</v>
      </c>
      <c r="AA41" s="417">
        <f t="shared" si="16"/>
        <v>144021.2384</v>
      </c>
      <c r="AB41" s="417">
        <f t="shared" si="16"/>
        <v>145262.80080000003</v>
      </c>
      <c r="AC41" s="417">
        <f t="shared" si="16"/>
        <v>146504.36320000002</v>
      </c>
      <c r="AD41" s="417">
        <f t="shared" si="16"/>
        <v>147745.92560000005</v>
      </c>
      <c r="AE41" s="417">
        <f t="shared" si="16"/>
        <v>148987.48800000004</v>
      </c>
      <c r="AF41" s="417">
        <f t="shared" si="16"/>
        <v>150229.05040000007</v>
      </c>
      <c r="AG41" s="417">
        <f t="shared" si="16"/>
        <v>151470.61280000006</v>
      </c>
      <c r="AH41" s="417">
        <f t="shared" si="16"/>
        <v>152712.17520000006</v>
      </c>
      <c r="AI41" s="417">
        <f t="shared" si="16"/>
        <v>0</v>
      </c>
      <c r="AJ41" s="417">
        <f t="shared" si="16"/>
        <v>0</v>
      </c>
      <c r="AK41" s="417">
        <f t="shared" si="16"/>
        <v>0</v>
      </c>
      <c r="AL41" s="417">
        <f t="shared" si="16"/>
        <v>0</v>
      </c>
      <c r="AM41" s="417">
        <f t="shared" si="16"/>
        <v>0</v>
      </c>
      <c r="AN41" s="417">
        <f t="shared" si="16"/>
        <v>0</v>
      </c>
      <c r="AO41" s="417">
        <f t="shared" si="16"/>
        <v>0</v>
      </c>
      <c r="AP41" s="417">
        <f t="shared" si="16"/>
        <v>0</v>
      </c>
      <c r="AQ41" s="417">
        <f t="shared" si="16"/>
        <v>0</v>
      </c>
      <c r="AR41" s="417">
        <f t="shared" si="16"/>
        <v>0</v>
      </c>
    </row>
    <row r="42" spans="1:44" x14ac:dyDescent="0.2">
      <c r="A42" s="380"/>
      <c r="B42" s="380" t="str">
        <f>Inputs!$C$30</f>
        <v>2% Discount Factor</v>
      </c>
      <c r="C42" s="52" t="s">
        <v>86</v>
      </c>
      <c r="D42" s="440">
        <f>SUM(F42:AR42)</f>
        <v>2069572.8995372807</v>
      </c>
      <c r="E42" s="380"/>
      <c r="F42" s="417">
        <f t="shared" ref="F42:AR42" si="17">(F$36-F$25)*F16*F$11</f>
        <v>0</v>
      </c>
      <c r="G42" s="417">
        <f t="shared" si="17"/>
        <v>0</v>
      </c>
      <c r="H42" s="417">
        <f t="shared" si="17"/>
        <v>0</v>
      </c>
      <c r="I42" s="417">
        <f t="shared" si="17"/>
        <v>0</v>
      </c>
      <c r="J42" s="417">
        <f t="shared" si="17"/>
        <v>0</v>
      </c>
      <c r="K42" s="417">
        <f t="shared" si="17"/>
        <v>0</v>
      </c>
      <c r="L42" s="417">
        <f t="shared" si="17"/>
        <v>0</v>
      </c>
      <c r="M42" s="417">
        <f t="shared" si="17"/>
        <v>0</v>
      </c>
      <c r="N42" s="417">
        <f t="shared" si="17"/>
        <v>0</v>
      </c>
      <c r="O42" s="417">
        <f t="shared" si="17"/>
        <v>59644.610707058047</v>
      </c>
      <c r="P42" s="417">
        <f t="shared" si="17"/>
        <v>88556.05379300192</v>
      </c>
      <c r="Q42" s="417">
        <f t="shared" si="17"/>
        <v>116862.01932223095</v>
      </c>
      <c r="R42" s="417">
        <f t="shared" si="17"/>
        <v>115651.46196336216</v>
      </c>
      <c r="S42" s="417">
        <f t="shared" si="17"/>
        <v>114443.44779222202</v>
      </c>
      <c r="T42" s="417">
        <f t="shared" si="17"/>
        <v>113238.34249593501</v>
      </c>
      <c r="U42" s="417">
        <f t="shared" si="17"/>
        <v>112036.49644318091</v>
      </c>
      <c r="V42" s="417">
        <f t="shared" si="17"/>
        <v>110838.24514432337</v>
      </c>
      <c r="W42" s="417">
        <f t="shared" si="17"/>
        <v>109643.90969938366</v>
      </c>
      <c r="X42" s="417">
        <f t="shared" si="17"/>
        <v>108453.79723415927</v>
      </c>
      <c r="Y42" s="417">
        <f t="shared" si="17"/>
        <v>107268.20132478009</v>
      </c>
      <c r="Z42" s="417">
        <f t="shared" si="17"/>
        <v>106087.40241098827</v>
      </c>
      <c r="AA42" s="417">
        <f t="shared" si="17"/>
        <v>104911.66819841975</v>
      </c>
      <c r="AB42" s="417">
        <f t="shared" si="17"/>
        <v>103741.25405016153</v>
      </c>
      <c r="AC42" s="417">
        <f t="shared" si="17"/>
        <v>102576.40336784867</v>
      </c>
      <c r="AD42" s="417">
        <f t="shared" si="17"/>
        <v>101417.34796256227</v>
      </c>
      <c r="AE42" s="417">
        <f t="shared" si="17"/>
        <v>100264.30841578079</v>
      </c>
      <c r="AF42" s="417">
        <f t="shared" si="17"/>
        <v>99117.494430632985</v>
      </c>
      <c r="AG42" s="417">
        <f t="shared" si="17"/>
        <v>97977.105173693257</v>
      </c>
      <c r="AH42" s="417">
        <f t="shared" si="17"/>
        <v>96843.329607556036</v>
      </c>
      <c r="AI42" s="417">
        <f t="shared" si="17"/>
        <v>0</v>
      </c>
      <c r="AJ42" s="417">
        <f t="shared" si="17"/>
        <v>0</v>
      </c>
      <c r="AK42" s="417">
        <f t="shared" si="17"/>
        <v>0</v>
      </c>
      <c r="AL42" s="417">
        <f t="shared" si="17"/>
        <v>0</v>
      </c>
      <c r="AM42" s="417">
        <f t="shared" si="17"/>
        <v>0</v>
      </c>
      <c r="AN42" s="417">
        <f t="shared" si="17"/>
        <v>0</v>
      </c>
      <c r="AO42" s="417">
        <f t="shared" si="17"/>
        <v>0</v>
      </c>
      <c r="AP42" s="417">
        <f t="shared" si="17"/>
        <v>0</v>
      </c>
      <c r="AQ42" s="417">
        <f t="shared" si="17"/>
        <v>0</v>
      </c>
      <c r="AR42" s="417">
        <f t="shared" si="17"/>
        <v>0</v>
      </c>
    </row>
    <row r="43" spans="1:44" x14ac:dyDescent="0.2">
      <c r="A43" s="380"/>
      <c r="B43" s="380" t="str">
        <f>Inputs!$C$31</f>
        <v>3.1% Discount Factor</v>
      </c>
      <c r="C43" s="52" t="s">
        <v>86</v>
      </c>
      <c r="D43" s="440">
        <f>SUM(F43:AR43)</f>
        <v>1793479.9803832865</v>
      </c>
      <c r="E43" s="380"/>
      <c r="F43" s="417">
        <f t="shared" ref="F43:AR43" si="18">(F$36-F$25)*F17*F$11</f>
        <v>0</v>
      </c>
      <c r="G43" s="417">
        <f t="shared" si="18"/>
        <v>0</v>
      </c>
      <c r="H43" s="417">
        <f t="shared" si="18"/>
        <v>0</v>
      </c>
      <c r="I43" s="417">
        <f t="shared" si="18"/>
        <v>0</v>
      </c>
      <c r="J43" s="417">
        <f t="shared" si="18"/>
        <v>0</v>
      </c>
      <c r="K43" s="417">
        <f t="shared" si="18"/>
        <v>0</v>
      </c>
      <c r="L43" s="417">
        <f t="shared" si="18"/>
        <v>0</v>
      </c>
      <c r="M43" s="417">
        <f t="shared" si="18"/>
        <v>0</v>
      </c>
      <c r="N43" s="417">
        <f t="shared" si="18"/>
        <v>0</v>
      </c>
      <c r="O43" s="417">
        <f t="shared" si="18"/>
        <v>57139.605056691216</v>
      </c>
      <c r="P43" s="417">
        <f t="shared" si="18"/>
        <v>83931.655193136496</v>
      </c>
      <c r="Q43" s="417">
        <f t="shared" si="18"/>
        <v>109577.76177201937</v>
      </c>
      <c r="R43" s="417">
        <f t="shared" si="18"/>
        <v>107285.65881820249</v>
      </c>
      <c r="S43" s="417">
        <f t="shared" si="18"/>
        <v>105032.32640813173</v>
      </c>
      <c r="T43" s="417">
        <f t="shared" si="18"/>
        <v>102817.50528510938</v>
      </c>
      <c r="U43" s="417">
        <f t="shared" si="18"/>
        <v>100640.91673143589</v>
      </c>
      <c r="V43" s="417">
        <f t="shared" si="18"/>
        <v>98502.263973101013</v>
      </c>
      <c r="W43" s="417">
        <f t="shared" si="18"/>
        <v>96401.233517596964</v>
      </c>
      <c r="X43" s="417">
        <f t="shared" si="18"/>
        <v>94337.496427605452</v>
      </c>
      <c r="Y43" s="417">
        <f t="shared" si="18"/>
        <v>92310.709533205358</v>
      </c>
      <c r="Z43" s="417">
        <f t="shared" si="18"/>
        <v>90320.516585146586</v>
      </c>
      <c r="AA43" s="417">
        <f t="shared" si="18"/>
        <v>88366.549351638358</v>
      </c>
      <c r="AB43" s="417">
        <f t="shared" si="18"/>
        <v>86448.428661006139</v>
      </c>
      <c r="AC43" s="417">
        <f t="shared" si="18"/>
        <v>84565.765392480331</v>
      </c>
      <c r="AD43" s="417">
        <f t="shared" si="18"/>
        <v>82718.161417294075</v>
      </c>
      <c r="AE43" s="417">
        <f t="shared" si="18"/>
        <v>80905.210492181766</v>
      </c>
      <c r="AF43" s="417">
        <f t="shared" si="18"/>
        <v>79126.499107290612</v>
      </c>
      <c r="AG43" s="417">
        <f t="shared" si="18"/>
        <v>77381.607290438202</v>
      </c>
      <c r="AH43" s="417">
        <f t="shared" si="18"/>
        <v>75670.109369575119</v>
      </c>
      <c r="AI43" s="417">
        <f t="shared" si="18"/>
        <v>0</v>
      </c>
      <c r="AJ43" s="417">
        <f t="shared" si="18"/>
        <v>0</v>
      </c>
      <c r="AK43" s="417">
        <f t="shared" si="18"/>
        <v>0</v>
      </c>
      <c r="AL43" s="417">
        <f t="shared" si="18"/>
        <v>0</v>
      </c>
      <c r="AM43" s="417">
        <f t="shared" si="18"/>
        <v>0</v>
      </c>
      <c r="AN43" s="417">
        <f t="shared" si="18"/>
        <v>0</v>
      </c>
      <c r="AO43" s="417">
        <f t="shared" si="18"/>
        <v>0</v>
      </c>
      <c r="AP43" s="417">
        <f t="shared" si="18"/>
        <v>0</v>
      </c>
      <c r="AQ43" s="417">
        <f t="shared" si="18"/>
        <v>0</v>
      </c>
      <c r="AR43" s="417">
        <f t="shared" si="18"/>
        <v>0</v>
      </c>
    </row>
    <row r="44" spans="1:44" x14ac:dyDescent="0.2">
      <c r="A44" s="380"/>
      <c r="B44" s="380"/>
      <c r="C44" s="52"/>
      <c r="D44" s="440"/>
      <c r="E44" s="380"/>
      <c r="F44" s="417"/>
      <c r="G44" s="417"/>
      <c r="H44" s="417"/>
      <c r="I44" s="417"/>
      <c r="J44" s="417"/>
      <c r="K44" s="417"/>
      <c r="L44" s="417"/>
      <c r="M44" s="417"/>
      <c r="N44" s="417"/>
      <c r="O44" s="417"/>
      <c r="P44" s="417"/>
      <c r="Q44" s="417"/>
      <c r="R44" s="417"/>
      <c r="S44" s="417"/>
      <c r="T44" s="417"/>
      <c r="U44" s="417"/>
      <c r="V44" s="417"/>
      <c r="W44" s="417"/>
      <c r="X44" s="417"/>
      <c r="Y44" s="417"/>
      <c r="Z44" s="417"/>
      <c r="AA44" s="417"/>
      <c r="AB44" s="417"/>
      <c r="AC44" s="417"/>
      <c r="AD44" s="417"/>
      <c r="AE44" s="417"/>
      <c r="AF44" s="417"/>
      <c r="AG44" s="417"/>
      <c r="AH44" s="417"/>
      <c r="AI44" s="417"/>
      <c r="AJ44" s="417"/>
      <c r="AK44" s="417"/>
      <c r="AL44" s="417"/>
      <c r="AM44" s="417"/>
      <c r="AN44" s="417"/>
      <c r="AO44" s="417"/>
      <c r="AP44" s="417"/>
      <c r="AQ44" s="417"/>
      <c r="AR44" s="417"/>
    </row>
  </sheetData>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B83CC-ADBA-43EC-99E9-7C887FC483DF}">
  <sheetPr>
    <tabColor theme="9"/>
  </sheetPr>
  <dimension ref="A1:AS48"/>
  <sheetViews>
    <sheetView workbookViewId="0">
      <pane xSplit="4" ySplit="11" topLeftCell="E12" activePane="bottomRight" state="frozen"/>
      <selection pane="topRight" activeCell="E1" sqref="E1"/>
      <selection pane="bottomLeft" activeCell="A12" sqref="A12"/>
      <selection pane="bottomRight" activeCell="A4" sqref="A4"/>
    </sheetView>
  </sheetViews>
  <sheetFormatPr defaultColWidth="0" defaultRowHeight="14.25" x14ac:dyDescent="0.2"/>
  <cols>
    <col min="1" max="1" width="10.28515625" style="1" customWidth="1"/>
    <col min="2" max="2" width="32.5703125" style="1" bestFit="1" customWidth="1"/>
    <col min="3" max="3" width="22.28515625" style="1" bestFit="1" customWidth="1"/>
    <col min="4" max="4" width="15.140625" style="1" bestFit="1" customWidth="1"/>
    <col min="5" max="5" width="1.5703125" style="1" customWidth="1"/>
    <col min="6" max="44" width="14.42578125" style="1" customWidth="1"/>
    <col min="45" max="45" width="9.140625" style="1" customWidth="1"/>
    <col min="46" max="16384" width="9.140625" style="1" hidden="1"/>
  </cols>
  <sheetData>
    <row r="1" spans="1:44" ht="19.5" x14ac:dyDescent="0.3">
      <c r="A1" s="3" t="str">
        <f>Summary!$A$1</f>
        <v>Multimodal Improvements to Safely Connect Tulsa at US-75 and 81st Street Interchange</v>
      </c>
      <c r="B1" s="380"/>
      <c r="C1" s="380"/>
      <c r="D1" s="380"/>
      <c r="E1" s="380"/>
      <c r="F1" s="380"/>
      <c r="G1" s="380"/>
      <c r="H1" s="380"/>
      <c r="I1" s="380"/>
      <c r="J1" s="380"/>
      <c r="K1" s="380"/>
      <c r="L1" s="380"/>
      <c r="M1" s="380"/>
      <c r="N1" s="380"/>
      <c r="O1" s="380"/>
      <c r="P1" s="380"/>
      <c r="Q1" s="380"/>
      <c r="R1" s="380"/>
      <c r="S1" s="380"/>
      <c r="T1" s="380"/>
      <c r="U1" s="380"/>
      <c r="V1" s="380"/>
      <c r="W1" s="380"/>
      <c r="X1" s="380"/>
      <c r="Y1" s="380"/>
      <c r="Z1" s="380"/>
      <c r="AA1" s="380"/>
      <c r="AB1" s="380"/>
      <c r="AC1" s="380"/>
      <c r="AD1" s="380"/>
      <c r="AE1" s="380"/>
      <c r="AF1" s="380"/>
      <c r="AG1" s="380"/>
      <c r="AH1" s="380"/>
      <c r="AI1" s="380"/>
      <c r="AJ1" s="380"/>
      <c r="AK1" s="380"/>
      <c r="AL1" s="380"/>
      <c r="AM1" s="380"/>
      <c r="AN1" s="380"/>
      <c r="AO1" s="380"/>
      <c r="AP1" s="380"/>
      <c r="AQ1" s="380"/>
      <c r="AR1" s="380"/>
    </row>
    <row r="2" spans="1:44" ht="19.5" x14ac:dyDescent="0.3">
      <c r="A2" s="3" t="s">
        <v>370</v>
      </c>
      <c r="B2" s="380"/>
      <c r="C2" s="7"/>
      <c r="D2" s="380"/>
      <c r="E2" s="380"/>
      <c r="F2" s="380"/>
      <c r="G2" s="380"/>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row>
    <row r="3" spans="1:44" x14ac:dyDescent="0.2">
      <c r="A3" s="381">
        <f ca="1">Summary!A3</f>
        <v>45687</v>
      </c>
      <c r="B3" s="380"/>
      <c r="C3" s="358" t="s">
        <v>259</v>
      </c>
      <c r="D3" s="359">
        <f>Summary!$E$9</f>
        <v>1.8138898580989069</v>
      </c>
      <c r="E3" s="380"/>
      <c r="F3" s="380"/>
      <c r="G3" s="380"/>
      <c r="H3" s="380"/>
      <c r="I3" s="380"/>
      <c r="J3" s="380"/>
      <c r="K3" s="380"/>
      <c r="L3" s="380"/>
      <c r="M3" s="380"/>
      <c r="N3" s="380"/>
      <c r="O3" s="380"/>
      <c r="P3" s="380"/>
      <c r="Q3" s="380"/>
      <c r="R3" s="380"/>
      <c r="S3" s="380"/>
      <c r="T3" s="380"/>
      <c r="U3" s="380"/>
      <c r="V3" s="380"/>
      <c r="W3" s="380"/>
      <c r="X3" s="380"/>
      <c r="Y3" s="380"/>
      <c r="Z3" s="380"/>
      <c r="AA3" s="380"/>
      <c r="AB3" s="380"/>
      <c r="AC3" s="380"/>
      <c r="AD3" s="380"/>
      <c r="AE3" s="380"/>
      <c r="AF3" s="380"/>
      <c r="AG3" s="380"/>
      <c r="AH3" s="380"/>
      <c r="AI3" s="380"/>
      <c r="AJ3" s="380"/>
      <c r="AK3" s="380"/>
      <c r="AL3" s="380"/>
      <c r="AM3" s="380"/>
      <c r="AN3" s="380"/>
      <c r="AO3" s="380"/>
      <c r="AP3" s="380"/>
      <c r="AQ3" s="380"/>
      <c r="AR3" s="380"/>
    </row>
    <row r="4" spans="1:44" x14ac:dyDescent="0.2">
      <c r="A4" s="33" t="str">
        <f>Summary!A4</f>
        <v>All $ values 2023, unless otherwise noted</v>
      </c>
      <c r="B4" s="380"/>
      <c r="C4" s="7"/>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c r="AM4" s="380"/>
      <c r="AN4" s="380"/>
      <c r="AO4" s="380"/>
      <c r="AP4" s="380"/>
      <c r="AQ4" s="380"/>
      <c r="AR4" s="380"/>
    </row>
    <row r="5" spans="1:44" x14ac:dyDescent="0.2">
      <c r="A5" s="380"/>
      <c r="B5" s="382"/>
      <c r="C5" s="7"/>
      <c r="D5" s="380"/>
      <c r="E5" s="380"/>
      <c r="F5" s="380"/>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0"/>
      <c r="AO5" s="380"/>
      <c r="AP5" s="380"/>
      <c r="AQ5" s="380"/>
      <c r="AR5" s="380"/>
    </row>
    <row r="6" spans="1:44" x14ac:dyDescent="0.2">
      <c r="A6" s="380"/>
      <c r="B6" s="380"/>
      <c r="C6" s="380" t="s">
        <v>48</v>
      </c>
      <c r="D6" s="380" t="s">
        <v>49</v>
      </c>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row>
    <row r="7" spans="1:44" s="4" customFormat="1" x14ac:dyDescent="0.2">
      <c r="A7" s="450" t="s">
        <v>235</v>
      </c>
      <c r="B7" s="450"/>
      <c r="C7" s="182" t="s">
        <v>235</v>
      </c>
      <c r="D7" s="450"/>
      <c r="E7" s="450"/>
      <c r="F7" s="450">
        <f>Inputs!$E$12</f>
        <v>2018</v>
      </c>
      <c r="G7" s="450">
        <f>F7+1</f>
        <v>2019</v>
      </c>
      <c r="H7" s="450">
        <f t="shared" ref="H7:W8" si="0">G7+1</f>
        <v>2020</v>
      </c>
      <c r="I7" s="450">
        <f t="shared" si="0"/>
        <v>2021</v>
      </c>
      <c r="J7" s="450">
        <f t="shared" si="0"/>
        <v>2022</v>
      </c>
      <c r="K7" s="450">
        <f t="shared" si="0"/>
        <v>2023</v>
      </c>
      <c r="L7" s="450">
        <f t="shared" si="0"/>
        <v>2024</v>
      </c>
      <c r="M7" s="450">
        <f t="shared" si="0"/>
        <v>2025</v>
      </c>
      <c r="N7" s="450">
        <f t="shared" si="0"/>
        <v>2026</v>
      </c>
      <c r="O7" s="450">
        <f t="shared" si="0"/>
        <v>2027</v>
      </c>
      <c r="P7" s="450">
        <f t="shared" si="0"/>
        <v>2028</v>
      </c>
      <c r="Q7" s="450">
        <f t="shared" si="0"/>
        <v>2029</v>
      </c>
      <c r="R7" s="450">
        <f t="shared" si="0"/>
        <v>2030</v>
      </c>
      <c r="S7" s="450">
        <f t="shared" si="0"/>
        <v>2031</v>
      </c>
      <c r="T7" s="450">
        <f t="shared" si="0"/>
        <v>2032</v>
      </c>
      <c r="U7" s="450">
        <f t="shared" si="0"/>
        <v>2033</v>
      </c>
      <c r="V7" s="450">
        <f t="shared" si="0"/>
        <v>2034</v>
      </c>
      <c r="W7" s="450">
        <f t="shared" si="0"/>
        <v>2035</v>
      </c>
      <c r="X7" s="450">
        <f t="shared" ref="X7:AM8" si="1">W7+1</f>
        <v>2036</v>
      </c>
      <c r="Y7" s="450">
        <f t="shared" si="1"/>
        <v>2037</v>
      </c>
      <c r="Z7" s="450">
        <f t="shared" si="1"/>
        <v>2038</v>
      </c>
      <c r="AA7" s="450">
        <f t="shared" si="1"/>
        <v>2039</v>
      </c>
      <c r="AB7" s="450">
        <f t="shared" si="1"/>
        <v>2040</v>
      </c>
      <c r="AC7" s="450">
        <f t="shared" si="1"/>
        <v>2041</v>
      </c>
      <c r="AD7" s="450">
        <f t="shared" si="1"/>
        <v>2042</v>
      </c>
      <c r="AE7" s="450">
        <f t="shared" si="1"/>
        <v>2043</v>
      </c>
      <c r="AF7" s="450">
        <f t="shared" si="1"/>
        <v>2044</v>
      </c>
      <c r="AG7" s="450">
        <f t="shared" si="1"/>
        <v>2045</v>
      </c>
      <c r="AH7" s="450">
        <f t="shared" si="1"/>
        <v>2046</v>
      </c>
      <c r="AI7" s="450">
        <f t="shared" si="1"/>
        <v>2047</v>
      </c>
      <c r="AJ7" s="450">
        <f t="shared" si="1"/>
        <v>2048</v>
      </c>
      <c r="AK7" s="450">
        <f t="shared" si="1"/>
        <v>2049</v>
      </c>
      <c r="AL7" s="450">
        <f t="shared" si="1"/>
        <v>2050</v>
      </c>
      <c r="AM7" s="450">
        <f t="shared" si="1"/>
        <v>2051</v>
      </c>
      <c r="AN7" s="450">
        <f t="shared" ref="AN7:AR8" si="2">AM7+1</f>
        <v>2052</v>
      </c>
      <c r="AO7" s="450">
        <f t="shared" si="2"/>
        <v>2053</v>
      </c>
      <c r="AP7" s="450">
        <f t="shared" si="2"/>
        <v>2054</v>
      </c>
      <c r="AQ7" s="450">
        <f t="shared" si="2"/>
        <v>2055</v>
      </c>
      <c r="AR7" s="450">
        <f t="shared" si="2"/>
        <v>2056</v>
      </c>
    </row>
    <row r="8" spans="1:44" x14ac:dyDescent="0.2">
      <c r="A8" s="380"/>
      <c r="B8" s="380" t="s">
        <v>236</v>
      </c>
      <c r="C8" s="11" t="s">
        <v>54</v>
      </c>
      <c r="D8" s="380"/>
      <c r="E8" s="380"/>
      <c r="F8" s="380">
        <f>D8+1</f>
        <v>1</v>
      </c>
      <c r="G8" s="380">
        <f t="shared" ref="G8" si="3">F8+1</f>
        <v>2</v>
      </c>
      <c r="H8" s="380">
        <f t="shared" si="0"/>
        <v>3</v>
      </c>
      <c r="I8" s="380">
        <f t="shared" si="0"/>
        <v>4</v>
      </c>
      <c r="J8" s="380">
        <f t="shared" si="0"/>
        <v>5</v>
      </c>
      <c r="K8" s="380">
        <f t="shared" si="0"/>
        <v>6</v>
      </c>
      <c r="L8" s="380">
        <f t="shared" si="0"/>
        <v>7</v>
      </c>
      <c r="M8" s="380">
        <f t="shared" si="0"/>
        <v>8</v>
      </c>
      <c r="N8" s="380">
        <f t="shared" si="0"/>
        <v>9</v>
      </c>
      <c r="O8" s="380">
        <f t="shared" si="0"/>
        <v>10</v>
      </c>
      <c r="P8" s="380">
        <f t="shared" si="0"/>
        <v>11</v>
      </c>
      <c r="Q8" s="380">
        <f t="shared" si="0"/>
        <v>12</v>
      </c>
      <c r="R8" s="380">
        <f t="shared" si="0"/>
        <v>13</v>
      </c>
      <c r="S8" s="380">
        <f t="shared" si="0"/>
        <v>14</v>
      </c>
      <c r="T8" s="380">
        <f t="shared" si="0"/>
        <v>15</v>
      </c>
      <c r="U8" s="380">
        <f t="shared" si="0"/>
        <v>16</v>
      </c>
      <c r="V8" s="380">
        <f t="shared" si="0"/>
        <v>17</v>
      </c>
      <c r="W8" s="380">
        <f t="shared" si="0"/>
        <v>18</v>
      </c>
      <c r="X8" s="380">
        <f t="shared" si="1"/>
        <v>19</v>
      </c>
      <c r="Y8" s="380">
        <f t="shared" si="1"/>
        <v>20</v>
      </c>
      <c r="Z8" s="380">
        <f t="shared" si="1"/>
        <v>21</v>
      </c>
      <c r="AA8" s="380">
        <f t="shared" si="1"/>
        <v>22</v>
      </c>
      <c r="AB8" s="380">
        <f t="shared" si="1"/>
        <v>23</v>
      </c>
      <c r="AC8" s="380">
        <f t="shared" si="1"/>
        <v>24</v>
      </c>
      <c r="AD8" s="380">
        <f t="shared" si="1"/>
        <v>25</v>
      </c>
      <c r="AE8" s="380">
        <f t="shared" si="1"/>
        <v>26</v>
      </c>
      <c r="AF8" s="380">
        <f t="shared" si="1"/>
        <v>27</v>
      </c>
      <c r="AG8" s="380">
        <f t="shared" si="1"/>
        <v>28</v>
      </c>
      <c r="AH8" s="380">
        <f t="shared" si="1"/>
        <v>29</v>
      </c>
      <c r="AI8" s="380">
        <f t="shared" si="1"/>
        <v>30</v>
      </c>
      <c r="AJ8" s="380">
        <f t="shared" si="1"/>
        <v>31</v>
      </c>
      <c r="AK8" s="380">
        <f t="shared" si="1"/>
        <v>32</v>
      </c>
      <c r="AL8" s="380">
        <f t="shared" si="1"/>
        <v>33</v>
      </c>
      <c r="AM8" s="380">
        <f t="shared" si="1"/>
        <v>34</v>
      </c>
      <c r="AN8" s="380">
        <f t="shared" si="2"/>
        <v>35</v>
      </c>
      <c r="AO8" s="380">
        <f t="shared" si="2"/>
        <v>36</v>
      </c>
      <c r="AP8" s="380">
        <f t="shared" si="2"/>
        <v>37</v>
      </c>
      <c r="AQ8" s="380">
        <f t="shared" si="2"/>
        <v>38</v>
      </c>
      <c r="AR8" s="380">
        <f t="shared" si="2"/>
        <v>39</v>
      </c>
    </row>
    <row r="9" spans="1:44" x14ac:dyDescent="0.2">
      <c r="A9" s="380"/>
      <c r="B9" s="380" t="s">
        <v>237</v>
      </c>
      <c r="C9" s="11" t="s">
        <v>238</v>
      </c>
      <c r="D9" s="380"/>
      <c r="E9" s="380"/>
      <c r="F9" s="380">
        <f>IF(F7=Inputs!$E$13,1,0)</f>
        <v>0</v>
      </c>
      <c r="G9" s="380">
        <f>IF(G7=Inputs!$E$13,1,0)</f>
        <v>0</v>
      </c>
      <c r="H9" s="380">
        <f>IF(H7=Inputs!$E$13,1,0)</f>
        <v>0</v>
      </c>
      <c r="I9" s="380">
        <f>IF(I7=Inputs!$E$13,1,0)</f>
        <v>0</v>
      </c>
      <c r="J9" s="380">
        <f>IF(J7=Inputs!$E$13,1,0)</f>
        <v>0</v>
      </c>
      <c r="K9" s="380">
        <f>IF(K7=Inputs!$E$13,1,0)</f>
        <v>1</v>
      </c>
      <c r="L9" s="380">
        <f>IF(L7=Inputs!$E$13,1,0)</f>
        <v>0</v>
      </c>
      <c r="M9" s="380">
        <f>IF(M7=Inputs!$E$13,1,0)</f>
        <v>0</v>
      </c>
      <c r="N9" s="380">
        <f>IF(N7=Inputs!$E$13,1,0)</f>
        <v>0</v>
      </c>
      <c r="O9" s="380">
        <f>IF(O7=Inputs!$E$13,1,0)</f>
        <v>0</v>
      </c>
      <c r="P9" s="380">
        <f>IF(P7=Inputs!$E$13,1,0)</f>
        <v>0</v>
      </c>
      <c r="Q9" s="380">
        <f>IF(Q7=Inputs!$E$13,1,0)</f>
        <v>0</v>
      </c>
      <c r="R9" s="380">
        <f>IF(R7=Inputs!$E$13,1,0)</f>
        <v>0</v>
      </c>
      <c r="S9" s="380">
        <f>IF(S7=Inputs!$E$13,1,0)</f>
        <v>0</v>
      </c>
      <c r="T9" s="380">
        <f>IF(T7=Inputs!$E$13,1,0)</f>
        <v>0</v>
      </c>
      <c r="U9" s="380">
        <f>IF(U7=Inputs!$E$13,1,0)</f>
        <v>0</v>
      </c>
      <c r="V9" s="380">
        <f>IF(V7=Inputs!$E$13,1,0)</f>
        <v>0</v>
      </c>
      <c r="W9" s="380">
        <f>IF(W7=Inputs!$E$13,1,0)</f>
        <v>0</v>
      </c>
      <c r="X9" s="380">
        <f>IF(X7=Inputs!$E$13,1,0)</f>
        <v>0</v>
      </c>
      <c r="Y9" s="380">
        <f>IF(Y7=Inputs!$E$13,1,0)</f>
        <v>0</v>
      </c>
      <c r="Z9" s="380">
        <f>IF(Z7=Inputs!$E$13,1,0)</f>
        <v>0</v>
      </c>
      <c r="AA9" s="380">
        <f>IF(AA7=Inputs!$E$13,1,0)</f>
        <v>0</v>
      </c>
      <c r="AB9" s="380">
        <f>IF(AB7=Inputs!$E$13,1,0)</f>
        <v>0</v>
      </c>
      <c r="AC9" s="380">
        <f>IF(AC7=Inputs!$E$13,1,0)</f>
        <v>0</v>
      </c>
      <c r="AD9" s="380">
        <f>IF(AD7=Inputs!$E$13,1,0)</f>
        <v>0</v>
      </c>
      <c r="AE9" s="380">
        <f>IF(AE7=Inputs!$E$13,1,0)</f>
        <v>0</v>
      </c>
      <c r="AF9" s="380">
        <f>IF(AF7=Inputs!$E$13,1,0)</f>
        <v>0</v>
      </c>
      <c r="AG9" s="380">
        <f>IF(AG7=Inputs!$E$13,1,0)</f>
        <v>0</v>
      </c>
      <c r="AH9" s="380">
        <f>IF(AH7=Inputs!$E$13,1,0)</f>
        <v>0</v>
      </c>
      <c r="AI9" s="380">
        <f>IF(AI7=Inputs!$E$13,1,0)</f>
        <v>0</v>
      </c>
      <c r="AJ9" s="380">
        <f>IF(AJ7=Inputs!$E$13,1,0)</f>
        <v>0</v>
      </c>
      <c r="AK9" s="380">
        <f>IF(AK7=Inputs!$E$13,1,0)</f>
        <v>0</v>
      </c>
      <c r="AL9" s="380">
        <f>IF(AL7=Inputs!$E$13,1,0)</f>
        <v>0</v>
      </c>
      <c r="AM9" s="380">
        <f>IF(AM7=Inputs!$E$13,1,0)</f>
        <v>0</v>
      </c>
      <c r="AN9" s="380">
        <f>IF(AN7=Inputs!$E$13,1,0)</f>
        <v>0</v>
      </c>
      <c r="AO9" s="380">
        <f>IF(AO7=Inputs!$E$13,1,0)</f>
        <v>0</v>
      </c>
      <c r="AP9" s="380">
        <f>IF(AP7=Inputs!$E$13,1,0)</f>
        <v>0</v>
      </c>
      <c r="AQ9" s="380">
        <f>IF(AQ7=Inputs!$E$13,1,0)</f>
        <v>0</v>
      </c>
      <c r="AR9" s="380">
        <f>IF(AR7=Inputs!$E$13,1,0)</f>
        <v>0</v>
      </c>
    </row>
    <row r="10" spans="1:44" x14ac:dyDescent="0.2">
      <c r="A10" s="380"/>
      <c r="B10" s="380" t="s">
        <v>239</v>
      </c>
      <c r="C10" s="11" t="s">
        <v>61</v>
      </c>
      <c r="D10" s="380"/>
      <c r="E10" s="380"/>
      <c r="F10" s="428">
        <f>F7-Inputs!$E$13</f>
        <v>-5</v>
      </c>
      <c r="G10" s="428">
        <f>G7-Inputs!$E$13</f>
        <v>-4</v>
      </c>
      <c r="H10" s="428">
        <f>H7-Inputs!$E$13</f>
        <v>-3</v>
      </c>
      <c r="I10" s="428">
        <f>I7-Inputs!$E$13</f>
        <v>-2</v>
      </c>
      <c r="J10" s="428">
        <f>J7-Inputs!$E$13</f>
        <v>-1</v>
      </c>
      <c r="K10" s="428">
        <f>K7-Inputs!$E$13</f>
        <v>0</v>
      </c>
      <c r="L10" s="428">
        <f>L7-Inputs!$E$13</f>
        <v>1</v>
      </c>
      <c r="M10" s="428">
        <f>M7-Inputs!$E$13</f>
        <v>2</v>
      </c>
      <c r="N10" s="428">
        <f>N7-Inputs!$E$13</f>
        <v>3</v>
      </c>
      <c r="O10" s="428">
        <f>O7-Inputs!$E$13</f>
        <v>4</v>
      </c>
      <c r="P10" s="428">
        <f>P7-Inputs!$E$13</f>
        <v>5</v>
      </c>
      <c r="Q10" s="428">
        <f>Q7-Inputs!$E$13</f>
        <v>6</v>
      </c>
      <c r="R10" s="428">
        <f>R7-Inputs!$E$13</f>
        <v>7</v>
      </c>
      <c r="S10" s="428">
        <f>S7-Inputs!$E$13</f>
        <v>8</v>
      </c>
      <c r="T10" s="428">
        <f>T7-Inputs!$E$13</f>
        <v>9</v>
      </c>
      <c r="U10" s="428">
        <f>U7-Inputs!$E$13</f>
        <v>10</v>
      </c>
      <c r="V10" s="428">
        <f>V7-Inputs!$E$13</f>
        <v>11</v>
      </c>
      <c r="W10" s="428">
        <f>W7-Inputs!$E$13</f>
        <v>12</v>
      </c>
      <c r="X10" s="428">
        <f>X7-Inputs!$E$13</f>
        <v>13</v>
      </c>
      <c r="Y10" s="428">
        <f>Y7-Inputs!$E$13</f>
        <v>14</v>
      </c>
      <c r="Z10" s="428">
        <f>Z7-Inputs!$E$13</f>
        <v>15</v>
      </c>
      <c r="AA10" s="428">
        <f>AA7-Inputs!$E$13</f>
        <v>16</v>
      </c>
      <c r="AB10" s="428">
        <f>AB7-Inputs!$E$13</f>
        <v>17</v>
      </c>
      <c r="AC10" s="428">
        <f>AC7-Inputs!$E$13</f>
        <v>18</v>
      </c>
      <c r="AD10" s="428">
        <f>AD7-Inputs!$E$13</f>
        <v>19</v>
      </c>
      <c r="AE10" s="428">
        <f>AE7-Inputs!$E$13</f>
        <v>20</v>
      </c>
      <c r="AF10" s="428">
        <f>AF7-Inputs!$E$13</f>
        <v>21</v>
      </c>
      <c r="AG10" s="428">
        <f>AG7-Inputs!$E$13</f>
        <v>22</v>
      </c>
      <c r="AH10" s="428">
        <f>AH7-Inputs!$E$13</f>
        <v>23</v>
      </c>
      <c r="AI10" s="428">
        <f>AI7-Inputs!$E$13</f>
        <v>24</v>
      </c>
      <c r="AJ10" s="428">
        <f>AJ7-Inputs!$E$13</f>
        <v>25</v>
      </c>
      <c r="AK10" s="428">
        <f>AK7-Inputs!$E$13</f>
        <v>26</v>
      </c>
      <c r="AL10" s="428">
        <f>AL7-Inputs!$E$13</f>
        <v>27</v>
      </c>
      <c r="AM10" s="428">
        <f>AM7-Inputs!$E$13</f>
        <v>28</v>
      </c>
      <c r="AN10" s="428">
        <f>AN7-Inputs!$E$13</f>
        <v>29</v>
      </c>
      <c r="AO10" s="428">
        <f>AO7-Inputs!$E$13</f>
        <v>30</v>
      </c>
      <c r="AP10" s="428">
        <f>AP7-Inputs!$E$13</f>
        <v>31</v>
      </c>
      <c r="AQ10" s="428">
        <f>AQ7-Inputs!$E$13</f>
        <v>32</v>
      </c>
      <c r="AR10" s="428">
        <f>AR7-Inputs!$E$13</f>
        <v>33</v>
      </c>
    </row>
    <row r="11" spans="1:44" x14ac:dyDescent="0.2">
      <c r="A11" s="380"/>
      <c r="B11" s="380" t="s">
        <v>240</v>
      </c>
      <c r="C11" s="11" t="s">
        <v>238</v>
      </c>
      <c r="D11" s="380"/>
      <c r="E11" s="380"/>
      <c r="F11" s="380">
        <f>IF(AND(F7&gt;=Inputs!$E$17,F7&lt;Inputs!$E$26),1,0)</f>
        <v>0</v>
      </c>
      <c r="G11" s="380">
        <f>IF(AND(G7&gt;=Inputs!$E$17,G7&lt;Inputs!$E$26),1,0)</f>
        <v>0</v>
      </c>
      <c r="H11" s="380">
        <f>IF(AND(H7&gt;=Inputs!$E$17,H7&lt;Inputs!$E$26),1,0)</f>
        <v>0</v>
      </c>
      <c r="I11" s="380">
        <f>IF(AND(I7&gt;=Inputs!$E$17,I7&lt;Inputs!$E$26),1,0)</f>
        <v>0</v>
      </c>
      <c r="J11" s="380">
        <f>IF(AND(J7&gt;=Inputs!$E$17,J7&lt;Inputs!$E$26),1,0)</f>
        <v>0</v>
      </c>
      <c r="K11" s="380">
        <f>IF(AND(K7&gt;=Inputs!$E$17,K7&lt;Inputs!$E$26),1,0)</f>
        <v>0</v>
      </c>
      <c r="L11" s="380">
        <f>IF(AND(L7&gt;=Inputs!$E$17,L7&lt;Inputs!$E$26),1,0)</f>
        <v>0</v>
      </c>
      <c r="M11" s="380">
        <f>IF(AND(M7&gt;=Inputs!$E$17,M7&lt;Inputs!$E$26),1,0)</f>
        <v>0</v>
      </c>
      <c r="N11" s="380">
        <f>IF(AND(N7&gt;=Inputs!$E$17,N7&lt;Inputs!$E$26),1,0)</f>
        <v>0</v>
      </c>
      <c r="O11" s="380">
        <f>IF(AND(O7&gt;=Inputs!$E$17,O7&lt;Inputs!$E$26),1,0)</f>
        <v>1</v>
      </c>
      <c r="P11" s="380">
        <f>IF(AND(P7&gt;=Inputs!$E$17,P7&lt;Inputs!$E$26),1,0)</f>
        <v>1</v>
      </c>
      <c r="Q11" s="380">
        <f>IF(AND(Q7&gt;=Inputs!$E$17,Q7&lt;Inputs!$E$26),1,0)</f>
        <v>1</v>
      </c>
      <c r="R11" s="380">
        <f>IF(AND(R7&gt;=Inputs!$E$17,R7&lt;Inputs!$E$26),1,0)</f>
        <v>1</v>
      </c>
      <c r="S11" s="380">
        <f>IF(AND(S7&gt;=Inputs!$E$17,S7&lt;Inputs!$E$26),1,0)</f>
        <v>1</v>
      </c>
      <c r="T11" s="380">
        <f>IF(AND(T7&gt;=Inputs!$E$17,T7&lt;Inputs!$E$26),1,0)</f>
        <v>1</v>
      </c>
      <c r="U11" s="380">
        <f>IF(AND(U7&gt;=Inputs!$E$17,U7&lt;Inputs!$E$26),1,0)</f>
        <v>1</v>
      </c>
      <c r="V11" s="380">
        <f>IF(AND(V7&gt;=Inputs!$E$17,V7&lt;Inputs!$E$26),1,0)</f>
        <v>1</v>
      </c>
      <c r="W11" s="380">
        <f>IF(AND(W7&gt;=Inputs!$E$17,W7&lt;Inputs!$E$26),1,0)</f>
        <v>1</v>
      </c>
      <c r="X11" s="380">
        <f>IF(AND(X7&gt;=Inputs!$E$17,X7&lt;Inputs!$E$26),1,0)</f>
        <v>1</v>
      </c>
      <c r="Y11" s="380">
        <f>IF(AND(Y7&gt;=Inputs!$E$17,Y7&lt;Inputs!$E$26),1,0)</f>
        <v>1</v>
      </c>
      <c r="Z11" s="380">
        <f>IF(AND(Z7&gt;=Inputs!$E$17,Z7&lt;Inputs!$E$26),1,0)</f>
        <v>1</v>
      </c>
      <c r="AA11" s="380">
        <f>IF(AND(AA7&gt;=Inputs!$E$17,AA7&lt;Inputs!$E$26),1,0)</f>
        <v>1</v>
      </c>
      <c r="AB11" s="380">
        <f>IF(AND(AB7&gt;=Inputs!$E$17,AB7&lt;Inputs!$E$26),1,0)</f>
        <v>1</v>
      </c>
      <c r="AC11" s="380">
        <f>IF(AND(AC7&gt;=Inputs!$E$17,AC7&lt;Inputs!$E$26),1,0)</f>
        <v>1</v>
      </c>
      <c r="AD11" s="380">
        <f>IF(AND(AD7&gt;=Inputs!$E$17,AD7&lt;Inputs!$E$26),1,0)</f>
        <v>1</v>
      </c>
      <c r="AE11" s="380">
        <f>IF(AND(AE7&gt;=Inputs!$E$17,AE7&lt;Inputs!$E$26),1,0)</f>
        <v>1</v>
      </c>
      <c r="AF11" s="380">
        <f>IF(AND(AF7&gt;=Inputs!$E$17,AF7&lt;Inputs!$E$26),1,0)</f>
        <v>1</v>
      </c>
      <c r="AG11" s="380">
        <f>IF(AND(AG7&gt;=Inputs!$E$17,AG7&lt;Inputs!$E$26),1,0)</f>
        <v>1</v>
      </c>
      <c r="AH11" s="380">
        <f>IF(AND(AH7&gt;=Inputs!$E$17,AH7&lt;Inputs!$E$26),1,0)</f>
        <v>1</v>
      </c>
      <c r="AI11" s="380">
        <f>IF(AND(AI7&gt;=Inputs!$E$17,AI7&lt;Inputs!$E$26),1,0)</f>
        <v>0</v>
      </c>
      <c r="AJ11" s="380">
        <f>IF(AND(AJ7&gt;=Inputs!$E$17,AJ7&lt;Inputs!$E$26),1,0)</f>
        <v>0</v>
      </c>
      <c r="AK11" s="380">
        <f>IF(AND(AK7&gt;=Inputs!$E$17,AK7&lt;Inputs!$E$26),1,0)</f>
        <v>0</v>
      </c>
      <c r="AL11" s="380">
        <f>IF(AND(AL7&gt;=Inputs!$E$17,AL7&lt;Inputs!$E$26),1,0)</f>
        <v>0</v>
      </c>
      <c r="AM11" s="380">
        <f>IF(AND(AM7&gt;=Inputs!$E$17,AM7&lt;Inputs!$E$26),1,0)</f>
        <v>0</v>
      </c>
      <c r="AN11" s="380">
        <f>IF(AND(AN7&gt;=Inputs!$E$17,AN7&lt;Inputs!$E$26),1,0)</f>
        <v>0</v>
      </c>
      <c r="AO11" s="380">
        <f>IF(AND(AO7&gt;=Inputs!$E$17,AO7&lt;Inputs!$E$26),1,0)</f>
        <v>0</v>
      </c>
      <c r="AP11" s="380">
        <f>IF(AND(AP7&gt;=Inputs!$E$17,AP7&lt;Inputs!$E$26),1,0)</f>
        <v>0</v>
      </c>
      <c r="AQ11" s="380">
        <f>IF(AND(AQ7&gt;=Inputs!$E$17,AQ7&lt;Inputs!$E$26),1,0)</f>
        <v>0</v>
      </c>
      <c r="AR11" s="380">
        <f>IF(AND(AR7&gt;=Inputs!$E$17,AR7&lt;Inputs!$E$26),1,0)</f>
        <v>0</v>
      </c>
    </row>
    <row r="12" spans="1:44" ht="15" x14ac:dyDescent="0.25">
      <c r="A12" s="2" t="s">
        <v>241</v>
      </c>
      <c r="B12" s="380"/>
      <c r="C12" s="11"/>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0"/>
      <c r="AI12" s="380"/>
      <c r="AJ12" s="380"/>
      <c r="AK12" s="380"/>
      <c r="AL12" s="380"/>
      <c r="AM12" s="380"/>
      <c r="AN12" s="380"/>
      <c r="AO12" s="380"/>
      <c r="AP12" s="380"/>
      <c r="AQ12" s="380"/>
      <c r="AR12" s="380"/>
    </row>
    <row r="13" spans="1:44" x14ac:dyDescent="0.2">
      <c r="A13" s="380"/>
      <c r="B13" s="380" t="s">
        <v>242</v>
      </c>
      <c r="C13" s="11" t="s">
        <v>54</v>
      </c>
      <c r="D13" s="380"/>
      <c r="E13" s="380"/>
      <c r="F13" s="380">
        <f>(F11+D13)*F11</f>
        <v>0</v>
      </c>
      <c r="G13" s="380">
        <f t="shared" ref="G13:AG13" si="4">(G11+F13)*G11</f>
        <v>0</v>
      </c>
      <c r="H13" s="380">
        <f t="shared" si="4"/>
        <v>0</v>
      </c>
      <c r="I13" s="380">
        <f t="shared" si="4"/>
        <v>0</v>
      </c>
      <c r="J13" s="380">
        <f t="shared" si="4"/>
        <v>0</v>
      </c>
      <c r="K13" s="380">
        <f t="shared" si="4"/>
        <v>0</v>
      </c>
      <c r="L13" s="380">
        <f t="shared" si="4"/>
        <v>0</v>
      </c>
      <c r="M13" s="380">
        <f t="shared" si="4"/>
        <v>0</v>
      </c>
      <c r="N13" s="380">
        <f t="shared" si="4"/>
        <v>0</v>
      </c>
      <c r="O13" s="380">
        <f t="shared" si="4"/>
        <v>1</v>
      </c>
      <c r="P13" s="380">
        <f t="shared" si="4"/>
        <v>2</v>
      </c>
      <c r="Q13" s="380">
        <f t="shared" si="4"/>
        <v>3</v>
      </c>
      <c r="R13" s="380">
        <f t="shared" si="4"/>
        <v>4</v>
      </c>
      <c r="S13" s="380">
        <f t="shared" si="4"/>
        <v>5</v>
      </c>
      <c r="T13" s="380">
        <f t="shared" si="4"/>
        <v>6</v>
      </c>
      <c r="U13" s="380">
        <f t="shared" si="4"/>
        <v>7</v>
      </c>
      <c r="V13" s="380">
        <f t="shared" si="4"/>
        <v>8</v>
      </c>
      <c r="W13" s="380">
        <f t="shared" si="4"/>
        <v>9</v>
      </c>
      <c r="X13" s="380">
        <f t="shared" si="4"/>
        <v>10</v>
      </c>
      <c r="Y13" s="380">
        <f t="shared" si="4"/>
        <v>11</v>
      </c>
      <c r="Z13" s="380">
        <f t="shared" si="4"/>
        <v>12</v>
      </c>
      <c r="AA13" s="380">
        <f t="shared" si="4"/>
        <v>13</v>
      </c>
      <c r="AB13" s="380">
        <f t="shared" si="4"/>
        <v>14</v>
      </c>
      <c r="AC13" s="380">
        <f t="shared" si="4"/>
        <v>15</v>
      </c>
      <c r="AD13" s="380">
        <f t="shared" si="4"/>
        <v>16</v>
      </c>
      <c r="AE13" s="380">
        <f t="shared" si="4"/>
        <v>17</v>
      </c>
      <c r="AF13" s="380">
        <f t="shared" si="4"/>
        <v>18</v>
      </c>
      <c r="AG13" s="380">
        <f t="shared" si="4"/>
        <v>19</v>
      </c>
      <c r="AH13" s="380">
        <f>(AH11+AG13)*AH11</f>
        <v>20</v>
      </c>
      <c r="AI13" s="380">
        <f t="shared" ref="AI13:AR13" si="5">(AI11+AH13)*AI11</f>
        <v>0</v>
      </c>
      <c r="AJ13" s="380">
        <f t="shared" si="5"/>
        <v>0</v>
      </c>
      <c r="AK13" s="380">
        <f t="shared" si="5"/>
        <v>0</v>
      </c>
      <c r="AL13" s="380">
        <f t="shared" si="5"/>
        <v>0</v>
      </c>
      <c r="AM13" s="380">
        <f t="shared" si="5"/>
        <v>0</v>
      </c>
      <c r="AN13" s="380">
        <f t="shared" si="5"/>
        <v>0</v>
      </c>
      <c r="AO13" s="380">
        <f t="shared" si="5"/>
        <v>0</v>
      </c>
      <c r="AP13" s="380">
        <f t="shared" si="5"/>
        <v>0</v>
      </c>
      <c r="AQ13" s="380">
        <f t="shared" si="5"/>
        <v>0</v>
      </c>
      <c r="AR13" s="380">
        <f t="shared" si="5"/>
        <v>0</v>
      </c>
    </row>
    <row r="14" spans="1:44" ht="15" x14ac:dyDescent="0.25">
      <c r="A14" s="2" t="s">
        <v>9</v>
      </c>
      <c r="B14" s="380"/>
      <c r="C14" s="11"/>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c r="AB14" s="380"/>
      <c r="AC14" s="380"/>
      <c r="AD14" s="380"/>
      <c r="AE14" s="380"/>
      <c r="AF14" s="380"/>
      <c r="AG14" s="380"/>
      <c r="AH14" s="380"/>
      <c r="AI14" s="380"/>
      <c r="AJ14" s="380"/>
      <c r="AK14" s="380"/>
      <c r="AL14" s="380"/>
      <c r="AM14" s="380"/>
      <c r="AN14" s="380"/>
      <c r="AO14" s="380"/>
      <c r="AP14" s="380"/>
      <c r="AQ14" s="380"/>
      <c r="AR14" s="380"/>
    </row>
    <row r="15" spans="1:44" x14ac:dyDescent="0.2">
      <c r="A15" s="380"/>
      <c r="B15" s="380" t="s">
        <v>75</v>
      </c>
      <c r="C15" s="11" t="s">
        <v>54</v>
      </c>
      <c r="D15" s="445">
        <f>Inputs!E29</f>
        <v>0</v>
      </c>
      <c r="E15" s="445"/>
      <c r="F15" s="446">
        <f t="shared" ref="F15:L15" si="6">1/(1+$D15)^(F$10)</f>
        <v>1</v>
      </c>
      <c r="G15" s="446">
        <f t="shared" si="6"/>
        <v>1</v>
      </c>
      <c r="H15" s="446">
        <f t="shared" si="6"/>
        <v>1</v>
      </c>
      <c r="I15" s="446">
        <f t="shared" si="6"/>
        <v>1</v>
      </c>
      <c r="J15" s="446">
        <f t="shared" si="6"/>
        <v>1</v>
      </c>
      <c r="K15" s="446">
        <f t="shared" si="6"/>
        <v>1</v>
      </c>
      <c r="L15" s="446">
        <f t="shared" si="6"/>
        <v>1</v>
      </c>
      <c r="M15" s="446">
        <f>1/(1+$D15)^(M$10)</f>
        <v>1</v>
      </c>
      <c r="N15" s="446">
        <f t="shared" ref="N15:AR15" si="7">1/(1+$D15)^(N$10)</f>
        <v>1</v>
      </c>
      <c r="O15" s="446">
        <f t="shared" si="7"/>
        <v>1</v>
      </c>
      <c r="P15" s="446">
        <f t="shared" si="7"/>
        <v>1</v>
      </c>
      <c r="Q15" s="446">
        <f t="shared" si="7"/>
        <v>1</v>
      </c>
      <c r="R15" s="446">
        <f t="shared" si="7"/>
        <v>1</v>
      </c>
      <c r="S15" s="446">
        <f t="shared" si="7"/>
        <v>1</v>
      </c>
      <c r="T15" s="446">
        <f t="shared" si="7"/>
        <v>1</v>
      </c>
      <c r="U15" s="446">
        <f t="shared" si="7"/>
        <v>1</v>
      </c>
      <c r="V15" s="446">
        <f t="shared" si="7"/>
        <v>1</v>
      </c>
      <c r="W15" s="446">
        <f t="shared" si="7"/>
        <v>1</v>
      </c>
      <c r="X15" s="446">
        <f t="shared" si="7"/>
        <v>1</v>
      </c>
      <c r="Y15" s="446">
        <f t="shared" si="7"/>
        <v>1</v>
      </c>
      <c r="Z15" s="446">
        <f t="shared" si="7"/>
        <v>1</v>
      </c>
      <c r="AA15" s="446">
        <f t="shared" si="7"/>
        <v>1</v>
      </c>
      <c r="AB15" s="446">
        <f t="shared" si="7"/>
        <v>1</v>
      </c>
      <c r="AC15" s="446">
        <f t="shared" si="7"/>
        <v>1</v>
      </c>
      <c r="AD15" s="446">
        <f t="shared" si="7"/>
        <v>1</v>
      </c>
      <c r="AE15" s="446">
        <f t="shared" si="7"/>
        <v>1</v>
      </c>
      <c r="AF15" s="446">
        <f t="shared" si="7"/>
        <v>1</v>
      </c>
      <c r="AG15" s="446">
        <f t="shared" si="7"/>
        <v>1</v>
      </c>
      <c r="AH15" s="446">
        <f t="shared" si="7"/>
        <v>1</v>
      </c>
      <c r="AI15" s="446">
        <f t="shared" si="7"/>
        <v>1</v>
      </c>
      <c r="AJ15" s="446">
        <f t="shared" si="7"/>
        <v>1</v>
      </c>
      <c r="AK15" s="446">
        <f t="shared" si="7"/>
        <v>1</v>
      </c>
      <c r="AL15" s="446">
        <f t="shared" si="7"/>
        <v>1</v>
      </c>
      <c r="AM15" s="446">
        <f t="shared" si="7"/>
        <v>1</v>
      </c>
      <c r="AN15" s="446">
        <f t="shared" si="7"/>
        <v>1</v>
      </c>
      <c r="AO15" s="446">
        <f t="shared" si="7"/>
        <v>1</v>
      </c>
      <c r="AP15" s="446">
        <f t="shared" si="7"/>
        <v>1</v>
      </c>
      <c r="AQ15" s="446">
        <f t="shared" si="7"/>
        <v>1</v>
      </c>
      <c r="AR15" s="446">
        <f t="shared" si="7"/>
        <v>1</v>
      </c>
    </row>
    <row r="16" spans="1:44" x14ac:dyDescent="0.2">
      <c r="A16" s="380"/>
      <c r="B16" s="380" t="str">
        <f>Inputs!$C$30</f>
        <v>2% Discount Factor</v>
      </c>
      <c r="C16" s="11" t="s">
        <v>54</v>
      </c>
      <c r="D16" s="445">
        <f>Inputs!E30</f>
        <v>0.02</v>
      </c>
      <c r="E16" s="445"/>
      <c r="F16" s="446">
        <f t="shared" ref="F16:L16" si="8">MIN(1,IF(F10=0,1,1/(1+$D16)^(F$10)))</f>
        <v>1</v>
      </c>
      <c r="G16" s="446">
        <f t="shared" si="8"/>
        <v>1</v>
      </c>
      <c r="H16" s="446">
        <f t="shared" si="8"/>
        <v>1</v>
      </c>
      <c r="I16" s="446">
        <f t="shared" si="8"/>
        <v>1</v>
      </c>
      <c r="J16" s="446">
        <f t="shared" si="8"/>
        <v>1</v>
      </c>
      <c r="K16" s="446">
        <f t="shared" si="8"/>
        <v>1</v>
      </c>
      <c r="L16" s="446">
        <f t="shared" si="8"/>
        <v>0.98039215686274506</v>
      </c>
      <c r="M16" s="446">
        <f>MIN(1,IF(M10=0,1,1/(1+$D16)^(M$10)))</f>
        <v>0.96116878123798544</v>
      </c>
      <c r="N16" s="446">
        <f t="shared" ref="N16:AR16" si="9">MIN(1,IF(N10=0,1,1/(1+$D16)^(N$10)))</f>
        <v>0.94232233454704462</v>
      </c>
      <c r="O16" s="446">
        <f t="shared" si="9"/>
        <v>0.9238454260265142</v>
      </c>
      <c r="P16" s="446">
        <f t="shared" si="9"/>
        <v>0.90573080982991594</v>
      </c>
      <c r="Q16" s="446">
        <f t="shared" si="9"/>
        <v>0.88797138218619198</v>
      </c>
      <c r="R16" s="446">
        <f t="shared" si="9"/>
        <v>0.87056017861391388</v>
      </c>
      <c r="S16" s="446">
        <f t="shared" si="9"/>
        <v>0.85349037119011162</v>
      </c>
      <c r="T16" s="446">
        <f t="shared" si="9"/>
        <v>0.83675526587265847</v>
      </c>
      <c r="U16" s="446">
        <f t="shared" si="9"/>
        <v>0.82034829987515534</v>
      </c>
      <c r="V16" s="446">
        <f t="shared" si="9"/>
        <v>0.80426303909328967</v>
      </c>
      <c r="W16" s="446">
        <f t="shared" si="9"/>
        <v>0.78849317558165644</v>
      </c>
      <c r="X16" s="446">
        <f t="shared" si="9"/>
        <v>0.77303252508005538</v>
      </c>
      <c r="Y16" s="446">
        <f t="shared" si="9"/>
        <v>0.75787502458828948</v>
      </c>
      <c r="Z16" s="446">
        <f t="shared" si="9"/>
        <v>0.74301472998851925</v>
      </c>
      <c r="AA16" s="446">
        <f t="shared" si="9"/>
        <v>0.72844581371423445</v>
      </c>
      <c r="AB16" s="446">
        <f t="shared" si="9"/>
        <v>0.7141625624649357</v>
      </c>
      <c r="AC16" s="446">
        <f t="shared" si="9"/>
        <v>0.7001593749656233</v>
      </c>
      <c r="AD16" s="446">
        <f t="shared" si="9"/>
        <v>0.68643075977021895</v>
      </c>
      <c r="AE16" s="446">
        <f t="shared" si="9"/>
        <v>0.67297133310805779</v>
      </c>
      <c r="AF16" s="446">
        <f t="shared" si="9"/>
        <v>0.65977581677260566</v>
      </c>
      <c r="AG16" s="446">
        <f t="shared" si="9"/>
        <v>0.64683903605157411</v>
      </c>
      <c r="AH16" s="446">
        <f t="shared" si="9"/>
        <v>0.63415591769762181</v>
      </c>
      <c r="AI16" s="446">
        <f t="shared" si="9"/>
        <v>0.62172148793884485</v>
      </c>
      <c r="AJ16" s="446">
        <f t="shared" si="9"/>
        <v>0.60953087052827937</v>
      </c>
      <c r="AK16" s="446">
        <f t="shared" si="9"/>
        <v>0.59757928483164635</v>
      </c>
      <c r="AL16" s="446">
        <f t="shared" si="9"/>
        <v>0.58586204395259456</v>
      </c>
      <c r="AM16" s="446">
        <f t="shared" si="9"/>
        <v>0.57437455289470041</v>
      </c>
      <c r="AN16" s="446">
        <f t="shared" si="9"/>
        <v>0.56311230675951029</v>
      </c>
      <c r="AO16" s="446">
        <f t="shared" si="9"/>
        <v>0.55207088897991197</v>
      </c>
      <c r="AP16" s="446">
        <f t="shared" si="9"/>
        <v>0.54124596958814919</v>
      </c>
      <c r="AQ16" s="446">
        <f t="shared" si="9"/>
        <v>0.53063330351779314</v>
      </c>
      <c r="AR16" s="446">
        <f t="shared" si="9"/>
        <v>0.52022872893901284</v>
      </c>
    </row>
    <row r="17" spans="1:44" x14ac:dyDescent="0.2">
      <c r="A17" s="380"/>
      <c r="B17" s="380" t="str">
        <f>Inputs!$C$31</f>
        <v>3.1% Discount Factor</v>
      </c>
      <c r="C17" s="11" t="s">
        <v>54</v>
      </c>
      <c r="D17" s="445">
        <f>Inputs!E31</f>
        <v>3.1E-2</v>
      </c>
      <c r="E17" s="445"/>
      <c r="F17" s="446">
        <f t="shared" ref="F17:L17" si="10">MIN(1,IF(F10=0,1,1/(1+$D17)^(F$10)))</f>
        <v>1</v>
      </c>
      <c r="G17" s="446">
        <f t="shared" si="10"/>
        <v>1</v>
      </c>
      <c r="H17" s="446">
        <f t="shared" si="10"/>
        <v>1</v>
      </c>
      <c r="I17" s="446">
        <f t="shared" si="10"/>
        <v>1</v>
      </c>
      <c r="J17" s="446">
        <f t="shared" si="10"/>
        <v>1</v>
      </c>
      <c r="K17" s="446">
        <f t="shared" si="10"/>
        <v>1</v>
      </c>
      <c r="L17" s="446">
        <f t="shared" si="10"/>
        <v>0.96993210475266745</v>
      </c>
      <c r="M17" s="446">
        <f>MIN(1,IF(M10=0,1,1/(1+$D17)^(M$10)))</f>
        <v>0.94076828782993938</v>
      </c>
      <c r="N17" s="446">
        <f t="shared" ref="N17:AR17" si="11">MIN(1,IF(N10=0,1,1/(1+$D17)^(N$10)))</f>
        <v>0.91248136549945624</v>
      </c>
      <c r="O17" s="446">
        <f t="shared" si="11"/>
        <v>0.88504497138647553</v>
      </c>
      <c r="P17" s="446">
        <f t="shared" si="11"/>
        <v>0.85843353189764848</v>
      </c>
      <c r="Q17" s="446">
        <f t="shared" si="11"/>
        <v>0.83262224238375215</v>
      </c>
      <c r="R17" s="446">
        <f t="shared" si="11"/>
        <v>0.80758704401915837</v>
      </c>
      <c r="S17" s="446">
        <f t="shared" si="11"/>
        <v>0.78330460137648728</v>
      </c>
      <c r="T17" s="446">
        <f t="shared" si="11"/>
        <v>0.75975228067554545</v>
      </c>
      <c r="U17" s="446">
        <f t="shared" si="11"/>
        <v>0.73690812868627109</v>
      </c>
      <c r="V17" s="446">
        <f t="shared" si="11"/>
        <v>0.71475085226602442</v>
      </c>
      <c r="W17" s="446">
        <f t="shared" si="11"/>
        <v>0.69325979851214781</v>
      </c>
      <c r="X17" s="446">
        <f t="shared" si="11"/>
        <v>0.67241493551129761</v>
      </c>
      <c r="Y17" s="446">
        <f t="shared" si="11"/>
        <v>0.65219683366760206</v>
      </c>
      <c r="Z17" s="446">
        <f t="shared" si="11"/>
        <v>0.63258664759224259</v>
      </c>
      <c r="AA17" s="446">
        <f t="shared" si="11"/>
        <v>0.6135660985375776</v>
      </c>
      <c r="AB17" s="446">
        <f t="shared" si="11"/>
        <v>0.59511745735943511</v>
      </c>
      <c r="AC17" s="446">
        <f t="shared" si="11"/>
        <v>0.57722352799169274</v>
      </c>
      <c r="AD17" s="446">
        <f t="shared" si="11"/>
        <v>0.55986763141774276</v>
      </c>
      <c r="AE17" s="446">
        <f t="shared" si="11"/>
        <v>0.54303359012390184</v>
      </c>
      <c r="AF17" s="446">
        <f t="shared" si="11"/>
        <v>0.52670571302027336</v>
      </c>
      <c r="AG17" s="446">
        <f t="shared" si="11"/>
        <v>0.51086878081500819</v>
      </c>
      <c r="AH17" s="446">
        <f t="shared" si="11"/>
        <v>0.49550803182832992</v>
      </c>
      <c r="AI17" s="446">
        <f t="shared" si="11"/>
        <v>0.4806091482331038</v>
      </c>
      <c r="AJ17" s="446">
        <f t="shared" si="11"/>
        <v>0.46615824270912104</v>
      </c>
      <c r="AK17" s="446">
        <f t="shared" si="11"/>
        <v>0.4521418454986626</v>
      </c>
      <c r="AL17" s="446">
        <f t="shared" si="11"/>
        <v>0.4385468918512731</v>
      </c>
      <c r="AM17" s="446">
        <f t="shared" si="11"/>
        <v>0.42536070984604568</v>
      </c>
      <c r="AN17" s="446">
        <f t="shared" si="11"/>
        <v>0.41257100858006374</v>
      </c>
      <c r="AO17" s="446">
        <f t="shared" si="11"/>
        <v>0.400165866711992</v>
      </c>
      <c r="AP17" s="446">
        <f t="shared" si="11"/>
        <v>0.38813372135013779</v>
      </c>
      <c r="AQ17" s="446">
        <f t="shared" si="11"/>
        <v>0.37646335727462438</v>
      </c>
      <c r="AR17" s="446">
        <f t="shared" si="11"/>
        <v>0.36514389648363188</v>
      </c>
    </row>
    <row r="19" spans="1:44" x14ac:dyDescent="0.2">
      <c r="A19" s="380"/>
      <c r="B19" s="380" t="s">
        <v>243</v>
      </c>
      <c r="C19" s="380" t="s">
        <v>48</v>
      </c>
      <c r="D19" s="380" t="s">
        <v>49</v>
      </c>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L19" s="380"/>
      <c r="AM19" s="380"/>
      <c r="AN19" s="380"/>
      <c r="AO19" s="380"/>
      <c r="AP19" s="380"/>
      <c r="AQ19" s="380"/>
      <c r="AR19" s="380"/>
    </row>
    <row r="20" spans="1:44" s="4" customFormat="1" x14ac:dyDescent="0.2">
      <c r="A20" s="449" t="s">
        <v>244</v>
      </c>
      <c r="B20" s="450"/>
      <c r="C20" s="450"/>
      <c r="D20" s="450"/>
      <c r="E20" s="450"/>
      <c r="F20" s="450"/>
      <c r="G20" s="450"/>
      <c r="H20" s="450"/>
      <c r="I20" s="450"/>
      <c r="J20" s="450"/>
      <c r="K20" s="450"/>
      <c r="L20" s="450"/>
      <c r="M20" s="450"/>
      <c r="N20" s="450"/>
      <c r="O20" s="450"/>
      <c r="P20" s="450"/>
      <c r="Q20" s="450"/>
      <c r="R20" s="450"/>
      <c r="S20" s="450"/>
      <c r="T20" s="450"/>
      <c r="U20" s="450"/>
      <c r="V20" s="450"/>
      <c r="W20" s="450"/>
      <c r="X20" s="450"/>
      <c r="Y20" s="450"/>
      <c r="Z20" s="450"/>
      <c r="AA20" s="450"/>
      <c r="AB20" s="450"/>
      <c r="AC20" s="450"/>
      <c r="AD20" s="450"/>
      <c r="AE20" s="450"/>
      <c r="AF20" s="450"/>
      <c r="AG20" s="450"/>
      <c r="AH20" s="450"/>
      <c r="AI20" s="450"/>
      <c r="AJ20" s="450"/>
      <c r="AK20" s="450"/>
      <c r="AL20" s="450"/>
      <c r="AM20" s="450"/>
      <c r="AN20" s="450"/>
      <c r="AO20" s="450"/>
      <c r="AP20" s="450"/>
      <c r="AQ20" s="450"/>
      <c r="AR20" s="450"/>
    </row>
    <row r="21" spans="1:44" ht="15" x14ac:dyDescent="0.25">
      <c r="A21" s="2" t="s">
        <v>220</v>
      </c>
      <c r="B21" s="380"/>
      <c r="C21" s="380"/>
      <c r="D21" s="380"/>
      <c r="E21" s="380"/>
      <c r="F21" s="380"/>
      <c r="G21" s="380"/>
      <c r="H21" s="380"/>
      <c r="I21" s="380"/>
      <c r="J21" s="380"/>
      <c r="K21" s="380"/>
      <c r="L21" s="380"/>
      <c r="M21" s="380"/>
      <c r="N21" s="380"/>
      <c r="O21" s="380"/>
      <c r="P21" s="380"/>
      <c r="Q21" s="380"/>
      <c r="R21" s="380"/>
      <c r="S21" s="380"/>
      <c r="T21" s="380"/>
      <c r="U21" s="380"/>
      <c r="V21" s="380"/>
      <c r="W21" s="380"/>
      <c r="X21" s="380"/>
      <c r="Y21" s="380"/>
      <c r="Z21" s="380"/>
      <c r="AA21" s="380"/>
      <c r="AB21" s="380"/>
      <c r="AC21" s="380"/>
      <c r="AD21" s="380"/>
      <c r="AE21" s="380"/>
      <c r="AF21" s="380"/>
      <c r="AG21" s="380"/>
      <c r="AH21" s="380"/>
      <c r="AI21" s="380"/>
      <c r="AJ21" s="380"/>
      <c r="AK21" s="380"/>
      <c r="AL21" s="380"/>
      <c r="AM21" s="380"/>
      <c r="AN21" s="380"/>
      <c r="AO21" s="380"/>
      <c r="AP21" s="380"/>
      <c r="AQ21" s="380"/>
      <c r="AR21" s="380"/>
    </row>
    <row r="22" spans="1:44" x14ac:dyDescent="0.2">
      <c r="A22" s="380"/>
      <c r="B22" s="380"/>
      <c r="C22" s="52"/>
      <c r="D22" s="440"/>
      <c r="E22" s="380"/>
      <c r="F22" s="417"/>
      <c r="G22" s="417"/>
      <c r="H22" s="417"/>
      <c r="I22" s="417"/>
      <c r="J22" s="417"/>
      <c r="K22" s="417"/>
      <c r="L22" s="417"/>
      <c r="M22" s="417"/>
      <c r="N22" s="417"/>
      <c r="O22" s="417"/>
      <c r="P22" s="417"/>
      <c r="Q22" s="417"/>
      <c r="R22" s="417"/>
      <c r="S22" s="417"/>
      <c r="T22" s="417"/>
      <c r="U22" s="417"/>
      <c r="V22" s="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row>
    <row r="23" spans="1:44" ht="15" x14ac:dyDescent="0.25">
      <c r="A23" s="380"/>
      <c r="B23" s="2" t="s">
        <v>227</v>
      </c>
      <c r="C23" s="52"/>
      <c r="D23" s="440"/>
      <c r="E23" s="380"/>
      <c r="F23" s="417"/>
      <c r="G23" s="417"/>
      <c r="H23" s="417"/>
      <c r="I23" s="417"/>
      <c r="J23" s="417"/>
      <c r="K23" s="417"/>
      <c r="L23" s="417"/>
      <c r="M23" s="417"/>
      <c r="N23" s="417"/>
      <c r="O23" s="417"/>
      <c r="P23" s="417"/>
      <c r="Q23" s="417"/>
      <c r="R23" s="417"/>
      <c r="S23" s="417"/>
      <c r="T23" s="417"/>
      <c r="U23" s="417"/>
      <c r="V23" s="417"/>
      <c r="W23" s="417"/>
      <c r="X23" s="417"/>
      <c r="Y23" s="417"/>
      <c r="Z23" s="417"/>
      <c r="AA23" s="417"/>
      <c r="AB23" s="417"/>
      <c r="AC23" s="417"/>
      <c r="AD23" s="417"/>
      <c r="AE23" s="417"/>
      <c r="AF23" s="417"/>
      <c r="AG23" s="417"/>
      <c r="AH23" s="417"/>
      <c r="AI23" s="417"/>
      <c r="AJ23" s="417"/>
      <c r="AK23" s="417"/>
      <c r="AL23" s="417"/>
      <c r="AM23" s="417"/>
      <c r="AN23" s="417"/>
      <c r="AO23" s="417"/>
      <c r="AP23" s="417"/>
      <c r="AQ23" s="417"/>
      <c r="AR23" s="417"/>
    </row>
    <row r="24" spans="1:44" x14ac:dyDescent="0.2">
      <c r="A24" s="380"/>
      <c r="B24" s="380" t="s">
        <v>221</v>
      </c>
      <c r="C24" s="11" t="s">
        <v>222</v>
      </c>
      <c r="D24" s="440">
        <f>Inputs!E167</f>
        <v>10</v>
      </c>
      <c r="E24" s="380"/>
      <c r="F24" s="458"/>
      <c r="G24" s="458"/>
      <c r="H24" s="458"/>
      <c r="I24" s="458"/>
      <c r="J24" s="458"/>
      <c r="K24" s="458"/>
      <c r="L24" s="458"/>
      <c r="M24" s="458"/>
      <c r="N24" s="458"/>
      <c r="O24" s="458"/>
      <c r="P24" s="458"/>
      <c r="Q24" s="458"/>
      <c r="R24" s="458"/>
      <c r="S24" s="458"/>
      <c r="T24" s="458"/>
      <c r="U24" s="458"/>
      <c r="V24" s="458"/>
      <c r="W24" s="458"/>
      <c r="X24" s="458"/>
      <c r="Y24" s="458"/>
      <c r="Z24" s="458"/>
      <c r="AA24" s="458"/>
      <c r="AB24" s="458"/>
      <c r="AC24" s="458"/>
      <c r="AD24" s="458"/>
      <c r="AE24" s="458"/>
      <c r="AF24" s="458"/>
      <c r="AG24" s="458"/>
      <c r="AH24" s="458"/>
      <c r="AI24" s="458"/>
      <c r="AJ24" s="458"/>
      <c r="AK24" s="458"/>
      <c r="AL24" s="458"/>
      <c r="AM24" s="458"/>
      <c r="AN24" s="458"/>
      <c r="AO24" s="458"/>
      <c r="AP24" s="458"/>
      <c r="AQ24" s="458"/>
      <c r="AR24" s="458"/>
    </row>
    <row r="25" spans="1:44" x14ac:dyDescent="0.2">
      <c r="A25" s="380"/>
      <c r="B25" s="380" t="s">
        <v>224</v>
      </c>
      <c r="C25" s="11" t="s">
        <v>225</v>
      </c>
      <c r="D25" s="440">
        <f>Inputs!E168</f>
        <v>4</v>
      </c>
      <c r="E25" s="380"/>
      <c r="F25" s="417"/>
      <c r="G25" s="417"/>
      <c r="H25" s="417"/>
      <c r="I25" s="417"/>
      <c r="J25" s="417"/>
      <c r="K25" s="417"/>
      <c r="L25" s="417"/>
      <c r="M25" s="417"/>
      <c r="N25" s="417"/>
      <c r="O25" s="417"/>
      <c r="P25" s="417"/>
      <c r="Q25" s="417"/>
      <c r="R25" s="417"/>
      <c r="S25" s="417"/>
      <c r="T25" s="417"/>
      <c r="U25" s="417"/>
      <c r="V25" s="417"/>
      <c r="W25" s="417"/>
      <c r="X25" s="417"/>
      <c r="Y25" s="417"/>
      <c r="Z25" s="417"/>
      <c r="AA25" s="417"/>
      <c r="AB25" s="417"/>
      <c r="AC25" s="417"/>
      <c r="AD25" s="417"/>
      <c r="AE25" s="417"/>
      <c r="AF25" s="417"/>
      <c r="AG25" s="417"/>
      <c r="AH25" s="417"/>
      <c r="AI25" s="417"/>
      <c r="AJ25" s="417"/>
      <c r="AK25" s="417"/>
      <c r="AL25" s="417"/>
      <c r="AM25" s="417"/>
      <c r="AN25" s="417"/>
      <c r="AO25" s="417"/>
      <c r="AP25" s="417"/>
      <c r="AQ25" s="417"/>
      <c r="AR25" s="417"/>
    </row>
    <row r="26" spans="1:44" x14ac:dyDescent="0.2">
      <c r="A26" s="380"/>
      <c r="B26" s="380" t="s">
        <v>226</v>
      </c>
      <c r="C26" s="11" t="s">
        <v>222</v>
      </c>
      <c r="D26" s="440">
        <f>Inputs!E169</f>
        <v>276</v>
      </c>
      <c r="E26" s="380"/>
      <c r="F26" s="417"/>
      <c r="G26" s="417"/>
      <c r="H26" s="417"/>
      <c r="I26" s="417"/>
      <c r="J26" s="417"/>
      <c r="K26" s="417"/>
      <c r="L26" s="417"/>
      <c r="M26" s="417"/>
      <c r="N26" s="417"/>
      <c r="O26" s="417"/>
      <c r="P26" s="417"/>
      <c r="Q26" s="417"/>
      <c r="R26" s="417"/>
      <c r="S26" s="417"/>
      <c r="T26" s="417"/>
      <c r="U26" s="417"/>
      <c r="V26" s="417"/>
      <c r="W26" s="417"/>
      <c r="X26" s="417"/>
      <c r="Y26" s="417"/>
      <c r="Z26" s="417"/>
      <c r="AA26" s="417"/>
      <c r="AB26" s="417"/>
      <c r="AC26" s="417"/>
      <c r="AD26" s="417"/>
      <c r="AE26" s="417"/>
      <c r="AF26" s="417"/>
      <c r="AG26" s="417"/>
      <c r="AH26" s="417"/>
      <c r="AI26" s="417"/>
      <c r="AJ26" s="417"/>
      <c r="AK26" s="417"/>
      <c r="AL26" s="417"/>
      <c r="AM26" s="417"/>
      <c r="AN26" s="417"/>
      <c r="AO26" s="417"/>
      <c r="AP26" s="417"/>
      <c r="AQ26" s="417"/>
      <c r="AR26" s="417"/>
    </row>
    <row r="27" spans="1:44" x14ac:dyDescent="0.2">
      <c r="A27" s="380"/>
      <c r="B27" s="380" t="s">
        <v>227</v>
      </c>
      <c r="C27" s="11" t="s">
        <v>228</v>
      </c>
      <c r="D27" s="453">
        <f>Inputs!E170</f>
        <v>3.6231884057971016E-2</v>
      </c>
      <c r="E27" s="380"/>
      <c r="F27" s="417"/>
      <c r="G27" s="417"/>
      <c r="H27" s="417"/>
      <c r="I27" s="417"/>
      <c r="J27" s="417"/>
      <c r="K27" s="417"/>
      <c r="L27" s="417"/>
      <c r="M27" s="417"/>
      <c r="N27" s="417"/>
      <c r="O27" s="417"/>
      <c r="P27" s="417"/>
      <c r="Q27" s="417"/>
      <c r="R27" s="417"/>
      <c r="S27" s="417"/>
      <c r="T27" s="417"/>
      <c r="U27" s="417"/>
      <c r="V27" s="417"/>
      <c r="W27" s="417"/>
      <c r="X27" s="417"/>
      <c r="Y27" s="417"/>
      <c r="Z27" s="417"/>
      <c r="AA27" s="417"/>
      <c r="AB27" s="417"/>
      <c r="AC27" s="417"/>
      <c r="AD27" s="417"/>
      <c r="AE27" s="417"/>
      <c r="AF27" s="417"/>
      <c r="AG27" s="417"/>
      <c r="AH27" s="417"/>
      <c r="AI27" s="417"/>
      <c r="AJ27" s="417"/>
      <c r="AK27" s="417"/>
      <c r="AL27" s="417"/>
      <c r="AM27" s="417"/>
      <c r="AN27" s="417"/>
      <c r="AO27" s="417"/>
      <c r="AP27" s="417"/>
      <c r="AQ27" s="417"/>
      <c r="AR27" s="417"/>
    </row>
    <row r="28" spans="1:44" x14ac:dyDescent="0.2">
      <c r="A28" s="380"/>
      <c r="B28" s="380" t="s">
        <v>227</v>
      </c>
      <c r="C28" s="11" t="s">
        <v>229</v>
      </c>
      <c r="D28" s="453">
        <f>Inputs!E171</f>
        <v>9.057971014492754E-3</v>
      </c>
      <c r="E28" s="380"/>
      <c r="F28" s="417"/>
      <c r="G28" s="417"/>
      <c r="H28" s="417"/>
      <c r="I28" s="417"/>
      <c r="J28" s="417"/>
      <c r="K28" s="417"/>
      <c r="L28" s="417"/>
      <c r="M28" s="417"/>
      <c r="N28" s="417"/>
      <c r="O28" s="417"/>
      <c r="P28" s="417"/>
      <c r="Q28" s="417"/>
      <c r="R28" s="417"/>
      <c r="S28" s="417"/>
      <c r="T28" s="417"/>
      <c r="U28" s="417"/>
      <c r="V28" s="417"/>
      <c r="W28" s="417"/>
      <c r="X28" s="417"/>
      <c r="Y28" s="417"/>
      <c r="Z28" s="417"/>
      <c r="AA28" s="417"/>
      <c r="AB28" s="417"/>
      <c r="AC28" s="417"/>
      <c r="AD28" s="417"/>
      <c r="AE28" s="417"/>
      <c r="AF28" s="417"/>
      <c r="AG28" s="417"/>
      <c r="AH28" s="417"/>
      <c r="AI28" s="417"/>
      <c r="AJ28" s="417"/>
      <c r="AK28" s="417"/>
      <c r="AL28" s="417"/>
      <c r="AM28" s="417"/>
      <c r="AN28" s="417"/>
      <c r="AO28" s="417"/>
      <c r="AP28" s="417"/>
      <c r="AQ28" s="417"/>
      <c r="AR28" s="417"/>
    </row>
    <row r="29" spans="1:44" x14ac:dyDescent="0.2">
      <c r="A29" s="380"/>
      <c r="B29" s="380"/>
      <c r="C29" s="380"/>
      <c r="D29" s="380"/>
      <c r="E29" s="380"/>
      <c r="F29" s="417"/>
      <c r="G29" s="417"/>
      <c r="H29" s="417"/>
      <c r="I29" s="417"/>
      <c r="J29" s="417"/>
      <c r="K29" s="417"/>
      <c r="L29" s="417"/>
      <c r="M29" s="417"/>
      <c r="N29" s="417"/>
      <c r="O29" s="417"/>
      <c r="P29" s="417"/>
      <c r="Q29" s="417"/>
      <c r="R29" s="417"/>
      <c r="S29" s="417"/>
      <c r="T29" s="417"/>
      <c r="U29" s="417"/>
      <c r="V29" s="417"/>
      <c r="W29" s="417"/>
      <c r="X29" s="417"/>
      <c r="Y29" s="417"/>
      <c r="Z29" s="417"/>
      <c r="AA29" s="417"/>
      <c r="AB29" s="417"/>
      <c r="AC29" s="417"/>
      <c r="AD29" s="417"/>
      <c r="AE29" s="417"/>
      <c r="AF29" s="417"/>
      <c r="AG29" s="417"/>
      <c r="AH29" s="417"/>
      <c r="AI29" s="417"/>
      <c r="AJ29" s="417"/>
      <c r="AK29" s="417"/>
      <c r="AL29" s="417"/>
      <c r="AM29" s="417"/>
      <c r="AN29" s="417"/>
      <c r="AO29" s="417"/>
      <c r="AP29" s="417"/>
      <c r="AQ29" s="417"/>
      <c r="AR29" s="417"/>
    </row>
    <row r="30" spans="1:44" ht="15" x14ac:dyDescent="0.25">
      <c r="A30" s="2"/>
      <c r="B30" s="2" t="s">
        <v>371</v>
      </c>
      <c r="C30" s="11"/>
      <c r="D30" s="453"/>
      <c r="E30" s="380"/>
      <c r="F30" s="432"/>
      <c r="G30" s="432"/>
      <c r="H30" s="432"/>
      <c r="I30" s="432"/>
      <c r="J30" s="432"/>
      <c r="K30" s="432"/>
      <c r="L30" s="432"/>
      <c r="M30" s="432"/>
      <c r="N30" s="432"/>
      <c r="O30" s="432"/>
      <c r="P30" s="432"/>
      <c r="Q30" s="432"/>
      <c r="R30" s="432"/>
      <c r="S30" s="432"/>
      <c r="T30" s="432"/>
      <c r="U30" s="432"/>
      <c r="V30" s="432"/>
      <c r="W30" s="432"/>
      <c r="X30" s="432"/>
      <c r="Y30" s="432"/>
      <c r="Z30" s="432"/>
      <c r="AA30" s="432"/>
      <c r="AB30" s="432"/>
      <c r="AC30" s="432"/>
      <c r="AD30" s="432"/>
      <c r="AE30" s="432"/>
      <c r="AF30" s="432"/>
      <c r="AG30" s="432"/>
      <c r="AH30" s="432"/>
      <c r="AI30" s="432"/>
      <c r="AJ30" s="432"/>
      <c r="AK30" s="432"/>
      <c r="AL30" s="432"/>
      <c r="AM30" s="432"/>
      <c r="AN30" s="432"/>
      <c r="AO30" s="432"/>
      <c r="AP30" s="432"/>
      <c r="AQ30" s="432"/>
      <c r="AR30" s="432"/>
    </row>
    <row r="31" spans="1:44" x14ac:dyDescent="0.2">
      <c r="A31" s="380"/>
      <c r="B31" s="380" t="s">
        <v>230</v>
      </c>
      <c r="C31" s="11" t="s">
        <v>86</v>
      </c>
      <c r="D31" s="440">
        <f>Inputs!E172</f>
        <v>0</v>
      </c>
      <c r="E31" s="380"/>
      <c r="F31" s="417"/>
      <c r="G31" s="417"/>
      <c r="H31" s="417"/>
      <c r="I31" s="417"/>
      <c r="J31" s="417"/>
      <c r="K31" s="417"/>
      <c r="L31" s="417"/>
      <c r="M31" s="417"/>
      <c r="N31" s="417"/>
      <c r="O31" s="417"/>
      <c r="P31" s="417"/>
      <c r="Q31" s="417"/>
      <c r="R31" s="417"/>
      <c r="S31" s="417"/>
      <c r="T31" s="417"/>
      <c r="U31" s="417"/>
      <c r="V31" s="417"/>
      <c r="W31" s="417"/>
      <c r="X31" s="417"/>
      <c r="Y31" s="417"/>
      <c r="Z31" s="417"/>
      <c r="AA31" s="417"/>
      <c r="AB31" s="417"/>
      <c r="AC31" s="417"/>
      <c r="AD31" s="417"/>
      <c r="AE31" s="417"/>
      <c r="AF31" s="417"/>
      <c r="AG31" s="417"/>
      <c r="AH31" s="417"/>
      <c r="AI31" s="417"/>
      <c r="AJ31" s="417"/>
      <c r="AK31" s="417"/>
      <c r="AL31" s="417"/>
      <c r="AM31" s="417"/>
      <c r="AN31" s="417"/>
      <c r="AO31" s="417"/>
      <c r="AP31" s="417"/>
      <c r="AQ31" s="417"/>
      <c r="AR31" s="417"/>
    </row>
    <row r="32" spans="1:44" x14ac:dyDescent="0.2">
      <c r="A32" s="380"/>
      <c r="B32" s="380" t="s">
        <v>372</v>
      </c>
      <c r="C32" s="11" t="s">
        <v>86</v>
      </c>
      <c r="D32" s="440">
        <f>Inputs!E173</f>
        <v>190584.64521249998</v>
      </c>
      <c r="E32" s="380"/>
      <c r="F32" s="417"/>
      <c r="G32" s="417"/>
      <c r="H32" s="417"/>
      <c r="I32" s="417"/>
      <c r="J32" s="417"/>
      <c r="K32" s="417"/>
      <c r="L32" s="417"/>
      <c r="M32" s="417"/>
      <c r="N32" s="417"/>
      <c r="O32" s="417"/>
      <c r="P32" s="417"/>
      <c r="Q32" s="417"/>
      <c r="R32" s="417"/>
      <c r="S32" s="417"/>
      <c r="T32" s="417"/>
      <c r="U32" s="417"/>
      <c r="V32" s="417"/>
      <c r="W32" s="417"/>
      <c r="X32" s="417"/>
      <c r="Y32" s="417"/>
      <c r="Z32" s="417"/>
      <c r="AA32" s="417"/>
      <c r="AB32" s="417"/>
      <c r="AC32" s="417"/>
      <c r="AD32" s="417"/>
      <c r="AE32" s="417"/>
      <c r="AF32" s="417"/>
      <c r="AG32" s="417"/>
      <c r="AH32" s="417"/>
      <c r="AI32" s="417"/>
      <c r="AJ32" s="417"/>
      <c r="AK32" s="417"/>
      <c r="AL32" s="417"/>
      <c r="AM32" s="417"/>
      <c r="AN32" s="417"/>
      <c r="AO32" s="417"/>
      <c r="AP32" s="417"/>
      <c r="AQ32" s="417"/>
      <c r="AR32" s="417"/>
    </row>
    <row r="33" spans="1:44" x14ac:dyDescent="0.2">
      <c r="A33" s="380"/>
      <c r="B33" s="380" t="s">
        <v>233</v>
      </c>
      <c r="C33" s="11" t="s">
        <v>122</v>
      </c>
      <c r="D33" s="440">
        <f>Inputs!E174</f>
        <v>190584.64521249998</v>
      </c>
      <c r="E33" s="380"/>
      <c r="F33" s="417"/>
      <c r="G33" s="417"/>
      <c r="H33" s="417"/>
      <c r="I33" s="417"/>
      <c r="J33" s="417"/>
      <c r="K33" s="417"/>
      <c r="L33" s="417"/>
      <c r="M33" s="417"/>
      <c r="N33" s="417"/>
      <c r="O33" s="417"/>
      <c r="P33" s="417"/>
      <c r="Q33" s="417"/>
      <c r="R33" s="417"/>
      <c r="S33" s="417"/>
      <c r="T33" s="417"/>
      <c r="U33" s="417"/>
      <c r="V33" s="417"/>
      <c r="W33" s="417"/>
      <c r="X33" s="417"/>
      <c r="Y33" s="417"/>
      <c r="Z33" s="417"/>
      <c r="AA33" s="417"/>
      <c r="AB33" s="417"/>
      <c r="AC33" s="417"/>
      <c r="AD33" s="417"/>
      <c r="AE33" s="417"/>
      <c r="AF33" s="417"/>
      <c r="AG33" s="417"/>
      <c r="AH33" s="417"/>
      <c r="AI33" s="417"/>
      <c r="AJ33" s="417"/>
      <c r="AK33" s="417"/>
      <c r="AL33" s="417"/>
      <c r="AM33" s="417"/>
      <c r="AN33" s="417"/>
      <c r="AO33" s="417"/>
      <c r="AP33" s="417"/>
      <c r="AQ33" s="417"/>
      <c r="AR33" s="417"/>
    </row>
    <row r="34" spans="1:44" ht="15" x14ac:dyDescent="0.25">
      <c r="A34" s="2"/>
      <c r="B34" s="380" t="s">
        <v>233</v>
      </c>
      <c r="C34" s="11" t="s">
        <v>373</v>
      </c>
      <c r="D34" s="440">
        <f>SUM(F34:AR34)</f>
        <v>67326.097493546229</v>
      </c>
      <c r="E34" s="380"/>
      <c r="F34" s="417">
        <f>$D$28*$D$33</f>
        <v>1726.3101921422101</v>
      </c>
      <c r="G34" s="417">
        <f t="shared" ref="G34:AR34" si="12">$D$28*$D$33</f>
        <v>1726.3101921422101</v>
      </c>
      <c r="H34" s="417">
        <f t="shared" si="12"/>
        <v>1726.3101921422101</v>
      </c>
      <c r="I34" s="417">
        <f t="shared" si="12"/>
        <v>1726.3101921422101</v>
      </c>
      <c r="J34" s="417">
        <f t="shared" si="12"/>
        <v>1726.3101921422101</v>
      </c>
      <c r="K34" s="417">
        <f t="shared" si="12"/>
        <v>1726.3101921422101</v>
      </c>
      <c r="L34" s="417">
        <f t="shared" si="12"/>
        <v>1726.3101921422101</v>
      </c>
      <c r="M34" s="417">
        <f t="shared" si="12"/>
        <v>1726.3101921422101</v>
      </c>
      <c r="N34" s="417">
        <f t="shared" si="12"/>
        <v>1726.3101921422101</v>
      </c>
      <c r="O34" s="417">
        <f t="shared" si="12"/>
        <v>1726.3101921422101</v>
      </c>
      <c r="P34" s="417">
        <f t="shared" si="12"/>
        <v>1726.3101921422101</v>
      </c>
      <c r="Q34" s="417">
        <f t="shared" si="12"/>
        <v>1726.3101921422101</v>
      </c>
      <c r="R34" s="417">
        <f t="shared" si="12"/>
        <v>1726.3101921422101</v>
      </c>
      <c r="S34" s="417">
        <f t="shared" si="12"/>
        <v>1726.3101921422101</v>
      </c>
      <c r="T34" s="417">
        <f t="shared" si="12"/>
        <v>1726.3101921422101</v>
      </c>
      <c r="U34" s="417">
        <f t="shared" si="12"/>
        <v>1726.3101921422101</v>
      </c>
      <c r="V34" s="417">
        <f t="shared" si="12"/>
        <v>1726.3101921422101</v>
      </c>
      <c r="W34" s="417">
        <f t="shared" si="12"/>
        <v>1726.3101921422101</v>
      </c>
      <c r="X34" s="417">
        <f t="shared" si="12"/>
        <v>1726.3101921422101</v>
      </c>
      <c r="Y34" s="417">
        <f t="shared" si="12"/>
        <v>1726.3101921422101</v>
      </c>
      <c r="Z34" s="417">
        <f t="shared" si="12"/>
        <v>1726.3101921422101</v>
      </c>
      <c r="AA34" s="417">
        <f t="shared" si="12"/>
        <v>1726.3101921422101</v>
      </c>
      <c r="AB34" s="417">
        <f t="shared" si="12"/>
        <v>1726.3101921422101</v>
      </c>
      <c r="AC34" s="417">
        <f t="shared" si="12"/>
        <v>1726.3101921422101</v>
      </c>
      <c r="AD34" s="417">
        <f t="shared" si="12"/>
        <v>1726.3101921422101</v>
      </c>
      <c r="AE34" s="417">
        <f t="shared" si="12"/>
        <v>1726.3101921422101</v>
      </c>
      <c r="AF34" s="417">
        <f t="shared" si="12"/>
        <v>1726.3101921422101</v>
      </c>
      <c r="AG34" s="417">
        <f t="shared" si="12"/>
        <v>1726.3101921422101</v>
      </c>
      <c r="AH34" s="417">
        <f t="shared" si="12"/>
        <v>1726.3101921422101</v>
      </c>
      <c r="AI34" s="417">
        <f t="shared" si="12"/>
        <v>1726.3101921422101</v>
      </c>
      <c r="AJ34" s="417">
        <f t="shared" si="12"/>
        <v>1726.3101921422101</v>
      </c>
      <c r="AK34" s="417">
        <f t="shared" si="12"/>
        <v>1726.3101921422101</v>
      </c>
      <c r="AL34" s="417">
        <f t="shared" si="12"/>
        <v>1726.3101921422101</v>
      </c>
      <c r="AM34" s="417">
        <f t="shared" si="12"/>
        <v>1726.3101921422101</v>
      </c>
      <c r="AN34" s="417">
        <f t="shared" si="12"/>
        <v>1726.3101921422101</v>
      </c>
      <c r="AO34" s="417">
        <f t="shared" si="12"/>
        <v>1726.3101921422101</v>
      </c>
      <c r="AP34" s="417">
        <f t="shared" si="12"/>
        <v>1726.3101921422101</v>
      </c>
      <c r="AQ34" s="417">
        <f t="shared" si="12"/>
        <v>1726.3101921422101</v>
      </c>
      <c r="AR34" s="417">
        <f t="shared" si="12"/>
        <v>1726.3101921422101</v>
      </c>
    </row>
    <row r="35" spans="1:44" x14ac:dyDescent="0.2">
      <c r="A35" s="380"/>
      <c r="B35" s="380"/>
      <c r="C35" s="52"/>
      <c r="D35" s="440"/>
      <c r="E35" s="380"/>
      <c r="F35" s="417"/>
      <c r="G35" s="417"/>
      <c r="H35" s="417"/>
      <c r="I35" s="417"/>
      <c r="J35" s="417"/>
      <c r="K35" s="417"/>
      <c r="L35" s="417"/>
      <c r="M35" s="417"/>
      <c r="N35" s="417"/>
      <c r="O35" s="417"/>
      <c r="P35" s="417"/>
      <c r="Q35" s="417"/>
      <c r="R35" s="417"/>
      <c r="S35" s="417"/>
      <c r="T35" s="417"/>
      <c r="U35" s="417"/>
      <c r="V35" s="417"/>
      <c r="W35" s="417"/>
      <c r="X35" s="417"/>
      <c r="Y35" s="417"/>
      <c r="Z35" s="417"/>
      <c r="AA35" s="417"/>
      <c r="AB35" s="417"/>
      <c r="AC35" s="417"/>
      <c r="AD35" s="417"/>
      <c r="AE35" s="417"/>
      <c r="AF35" s="417"/>
      <c r="AG35" s="417"/>
      <c r="AH35" s="417"/>
      <c r="AI35" s="417"/>
      <c r="AJ35" s="417"/>
      <c r="AK35" s="417"/>
      <c r="AL35" s="417"/>
      <c r="AM35" s="417"/>
      <c r="AN35" s="417"/>
      <c r="AO35" s="417"/>
      <c r="AP35" s="417"/>
      <c r="AQ35" s="417"/>
      <c r="AR35" s="417"/>
    </row>
    <row r="36" spans="1:44" ht="15" x14ac:dyDescent="0.25">
      <c r="A36" s="2" t="s">
        <v>319</v>
      </c>
      <c r="B36" s="380"/>
      <c r="C36" s="52"/>
      <c r="D36" s="440"/>
      <c r="E36" s="380"/>
      <c r="F36" s="417"/>
      <c r="G36" s="417"/>
      <c r="H36" s="417"/>
      <c r="I36" s="417"/>
      <c r="J36" s="417"/>
      <c r="K36" s="417"/>
      <c r="L36" s="417"/>
      <c r="M36" s="417"/>
      <c r="N36" s="417"/>
      <c r="O36" s="417"/>
      <c r="P36" s="417"/>
      <c r="Q36" s="417"/>
      <c r="R36" s="417"/>
      <c r="S36" s="417"/>
      <c r="T36" s="417"/>
      <c r="U36" s="417"/>
      <c r="V36" s="417"/>
      <c r="W36" s="417"/>
      <c r="X36" s="417"/>
      <c r="Y36" s="417"/>
      <c r="Z36" s="417"/>
      <c r="AA36" s="417"/>
      <c r="AB36" s="417"/>
      <c r="AC36" s="417"/>
      <c r="AD36" s="417"/>
      <c r="AE36" s="417"/>
      <c r="AF36" s="417"/>
      <c r="AG36" s="417"/>
      <c r="AH36" s="417"/>
      <c r="AI36" s="417"/>
      <c r="AJ36" s="417"/>
      <c r="AK36" s="417"/>
      <c r="AL36" s="417"/>
      <c r="AM36" s="417"/>
      <c r="AN36" s="417"/>
      <c r="AO36" s="417"/>
      <c r="AP36" s="417"/>
      <c r="AQ36" s="417"/>
      <c r="AR36" s="417"/>
    </row>
    <row r="37" spans="1:44" x14ac:dyDescent="0.2">
      <c r="A37" s="380"/>
      <c r="B37" s="380" t="s">
        <v>320</v>
      </c>
      <c r="C37" s="11" t="s">
        <v>310</v>
      </c>
      <c r="D37" s="440">
        <f>SUM(F37:AR37)</f>
        <v>67326.097493546229</v>
      </c>
      <c r="E37" s="380"/>
      <c r="F37" s="417">
        <f t="shared" ref="F37" si="13">F34</f>
        <v>1726.3101921422101</v>
      </c>
      <c r="G37" s="417">
        <f>G34</f>
        <v>1726.3101921422101</v>
      </c>
      <c r="H37" s="417">
        <f t="shared" ref="H37:AR37" si="14">H34</f>
        <v>1726.3101921422101</v>
      </c>
      <c r="I37" s="417">
        <f t="shared" si="14"/>
        <v>1726.3101921422101</v>
      </c>
      <c r="J37" s="417">
        <f t="shared" si="14"/>
        <v>1726.3101921422101</v>
      </c>
      <c r="K37" s="417">
        <f t="shared" si="14"/>
        <v>1726.3101921422101</v>
      </c>
      <c r="L37" s="417">
        <f t="shared" si="14"/>
        <v>1726.3101921422101</v>
      </c>
      <c r="M37" s="417">
        <f t="shared" si="14"/>
        <v>1726.3101921422101</v>
      </c>
      <c r="N37" s="417">
        <f t="shared" si="14"/>
        <v>1726.3101921422101</v>
      </c>
      <c r="O37" s="417">
        <f t="shared" si="14"/>
        <v>1726.3101921422101</v>
      </c>
      <c r="P37" s="417">
        <f t="shared" si="14"/>
        <v>1726.3101921422101</v>
      </c>
      <c r="Q37" s="417">
        <f t="shared" si="14"/>
        <v>1726.3101921422101</v>
      </c>
      <c r="R37" s="417">
        <f t="shared" si="14"/>
        <v>1726.3101921422101</v>
      </c>
      <c r="S37" s="417">
        <f t="shared" si="14"/>
        <v>1726.3101921422101</v>
      </c>
      <c r="T37" s="417">
        <f t="shared" si="14"/>
        <v>1726.3101921422101</v>
      </c>
      <c r="U37" s="417">
        <f t="shared" si="14"/>
        <v>1726.3101921422101</v>
      </c>
      <c r="V37" s="417">
        <f t="shared" si="14"/>
        <v>1726.3101921422101</v>
      </c>
      <c r="W37" s="417">
        <f t="shared" si="14"/>
        <v>1726.3101921422101</v>
      </c>
      <c r="X37" s="417">
        <f t="shared" si="14"/>
        <v>1726.3101921422101</v>
      </c>
      <c r="Y37" s="417">
        <f t="shared" si="14"/>
        <v>1726.3101921422101</v>
      </c>
      <c r="Z37" s="417">
        <f t="shared" si="14"/>
        <v>1726.3101921422101</v>
      </c>
      <c r="AA37" s="417">
        <f t="shared" si="14"/>
        <v>1726.3101921422101</v>
      </c>
      <c r="AB37" s="417">
        <f t="shared" si="14"/>
        <v>1726.3101921422101</v>
      </c>
      <c r="AC37" s="417">
        <f t="shared" si="14"/>
        <v>1726.3101921422101</v>
      </c>
      <c r="AD37" s="417">
        <f t="shared" si="14"/>
        <v>1726.3101921422101</v>
      </c>
      <c r="AE37" s="417">
        <f t="shared" si="14"/>
        <v>1726.3101921422101</v>
      </c>
      <c r="AF37" s="417">
        <f t="shared" si="14"/>
        <v>1726.3101921422101</v>
      </c>
      <c r="AG37" s="417">
        <f t="shared" si="14"/>
        <v>1726.3101921422101</v>
      </c>
      <c r="AH37" s="417">
        <f t="shared" si="14"/>
        <v>1726.3101921422101</v>
      </c>
      <c r="AI37" s="417">
        <f t="shared" si="14"/>
        <v>1726.3101921422101</v>
      </c>
      <c r="AJ37" s="417">
        <f t="shared" si="14"/>
        <v>1726.3101921422101</v>
      </c>
      <c r="AK37" s="417">
        <f t="shared" si="14"/>
        <v>1726.3101921422101</v>
      </c>
      <c r="AL37" s="417">
        <f t="shared" si="14"/>
        <v>1726.3101921422101</v>
      </c>
      <c r="AM37" s="417">
        <f t="shared" si="14"/>
        <v>1726.3101921422101</v>
      </c>
      <c r="AN37" s="417">
        <f t="shared" si="14"/>
        <v>1726.3101921422101</v>
      </c>
      <c r="AO37" s="417">
        <f t="shared" si="14"/>
        <v>1726.3101921422101</v>
      </c>
      <c r="AP37" s="417">
        <f t="shared" si="14"/>
        <v>1726.3101921422101</v>
      </c>
      <c r="AQ37" s="417">
        <f t="shared" si="14"/>
        <v>1726.3101921422101</v>
      </c>
      <c r="AR37" s="417">
        <f t="shared" si="14"/>
        <v>1726.3101921422101</v>
      </c>
    </row>
    <row r="38" spans="1:44" x14ac:dyDescent="0.2">
      <c r="A38" s="380"/>
      <c r="B38" s="380"/>
      <c r="C38" s="7"/>
      <c r="D38" s="380"/>
      <c r="E38" s="380"/>
      <c r="F38" s="463"/>
      <c r="G38" s="463"/>
      <c r="H38" s="463"/>
      <c r="I38" s="463"/>
      <c r="J38" s="463"/>
      <c r="K38" s="463"/>
      <c r="L38" s="463"/>
      <c r="M38" s="463"/>
      <c r="N38" s="463"/>
      <c r="O38" s="463"/>
      <c r="P38" s="463"/>
      <c r="Q38" s="463"/>
      <c r="R38" s="463"/>
      <c r="S38" s="463"/>
      <c r="T38" s="463"/>
      <c r="U38" s="463"/>
      <c r="V38" s="463"/>
      <c r="W38" s="463"/>
      <c r="X38" s="463"/>
      <c r="Y38" s="463"/>
      <c r="Z38" s="463"/>
      <c r="AA38" s="463"/>
      <c r="AB38" s="463"/>
      <c r="AC38" s="463"/>
      <c r="AD38" s="463"/>
      <c r="AE38" s="463"/>
      <c r="AF38" s="463"/>
      <c r="AG38" s="463"/>
      <c r="AH38" s="463"/>
      <c r="AI38" s="463"/>
      <c r="AJ38" s="463"/>
      <c r="AK38" s="463"/>
      <c r="AL38" s="463"/>
      <c r="AM38" s="463"/>
      <c r="AN38" s="463"/>
      <c r="AO38" s="463"/>
      <c r="AP38" s="463"/>
      <c r="AQ38" s="463"/>
      <c r="AR38" s="463"/>
    </row>
    <row r="39" spans="1:44" s="4" customFormat="1" x14ac:dyDescent="0.2">
      <c r="A39" s="449" t="s">
        <v>255</v>
      </c>
      <c r="B39" s="8"/>
      <c r="C39" s="8"/>
      <c r="D39" s="450"/>
      <c r="E39" s="450"/>
      <c r="F39" s="450"/>
      <c r="G39" s="450"/>
      <c r="H39" s="450"/>
      <c r="I39" s="450"/>
      <c r="J39" s="450"/>
      <c r="K39" s="450"/>
      <c r="L39" s="450"/>
      <c r="M39" s="450"/>
      <c r="N39" s="450"/>
      <c r="O39" s="450"/>
      <c r="P39" s="450"/>
      <c r="Q39" s="450"/>
      <c r="R39" s="450"/>
      <c r="S39" s="450"/>
      <c r="T39" s="450"/>
      <c r="U39" s="450"/>
      <c r="V39" s="450"/>
      <c r="W39" s="450"/>
      <c r="X39" s="450"/>
      <c r="Y39" s="450"/>
      <c r="Z39" s="450"/>
      <c r="AA39" s="450"/>
      <c r="AB39" s="450"/>
      <c r="AC39" s="450"/>
      <c r="AD39" s="450"/>
      <c r="AE39" s="450"/>
      <c r="AF39" s="450"/>
      <c r="AG39" s="450"/>
      <c r="AH39" s="450"/>
      <c r="AI39" s="450"/>
      <c r="AJ39" s="450"/>
      <c r="AK39" s="450"/>
      <c r="AL39" s="450"/>
      <c r="AM39" s="450"/>
      <c r="AN39" s="450"/>
      <c r="AO39" s="450"/>
      <c r="AP39" s="450"/>
      <c r="AQ39" s="450"/>
      <c r="AR39" s="450"/>
    </row>
    <row r="40" spans="1:44" ht="15" x14ac:dyDescent="0.25">
      <c r="A40" s="2" t="s">
        <v>220</v>
      </c>
      <c r="B40" s="380"/>
      <c r="C40" s="380"/>
      <c r="D40" s="380"/>
      <c r="E40" s="380"/>
      <c r="F40" s="380"/>
      <c r="G40" s="380"/>
      <c r="H40" s="380"/>
      <c r="I40" s="380"/>
      <c r="J40" s="380"/>
      <c r="K40" s="380"/>
      <c r="L40" s="380"/>
      <c r="M40" s="380"/>
      <c r="N40" s="380"/>
      <c r="O40" s="380"/>
      <c r="P40" s="380"/>
      <c r="Q40" s="380"/>
      <c r="R40" s="380"/>
      <c r="S40" s="380"/>
      <c r="T40" s="380"/>
      <c r="U40" s="380"/>
      <c r="V40" s="380"/>
      <c r="W40" s="380"/>
      <c r="X40" s="380"/>
      <c r="Y40" s="380"/>
      <c r="Z40" s="380"/>
      <c r="AA40" s="380"/>
      <c r="AB40" s="380"/>
      <c r="AC40" s="380"/>
      <c r="AD40" s="380"/>
      <c r="AE40" s="380"/>
      <c r="AF40" s="380"/>
      <c r="AG40" s="380"/>
      <c r="AH40" s="380"/>
      <c r="AI40" s="380"/>
      <c r="AJ40" s="380"/>
      <c r="AK40" s="380"/>
      <c r="AL40" s="380"/>
      <c r="AM40" s="380"/>
      <c r="AN40" s="380"/>
      <c r="AO40" s="380"/>
      <c r="AP40" s="380"/>
      <c r="AQ40" s="380"/>
      <c r="AR40" s="380"/>
    </row>
    <row r="41" spans="1:44" x14ac:dyDescent="0.2">
      <c r="A41" s="380"/>
      <c r="B41" s="380" t="s">
        <v>233</v>
      </c>
      <c r="C41" s="11" t="s">
        <v>373</v>
      </c>
      <c r="D41" s="440">
        <f>SUM(F41:AR41)</f>
        <v>0</v>
      </c>
      <c r="E41" s="380"/>
      <c r="F41" s="417">
        <v>0</v>
      </c>
      <c r="G41" s="417">
        <v>0</v>
      </c>
      <c r="H41" s="417">
        <v>0</v>
      </c>
      <c r="I41" s="417">
        <v>0</v>
      </c>
      <c r="J41" s="417">
        <v>0</v>
      </c>
      <c r="K41" s="417">
        <v>0</v>
      </c>
      <c r="L41" s="417">
        <v>0</v>
      </c>
      <c r="M41" s="417">
        <v>0</v>
      </c>
      <c r="N41" s="417">
        <v>0</v>
      </c>
      <c r="O41" s="417">
        <v>0</v>
      </c>
      <c r="P41" s="417">
        <v>0</v>
      </c>
      <c r="Q41" s="417">
        <v>0</v>
      </c>
      <c r="R41" s="417">
        <v>0</v>
      </c>
      <c r="S41" s="417">
        <v>0</v>
      </c>
      <c r="T41" s="417">
        <v>0</v>
      </c>
      <c r="U41" s="417">
        <v>0</v>
      </c>
      <c r="V41" s="417">
        <v>0</v>
      </c>
      <c r="W41" s="417">
        <v>0</v>
      </c>
      <c r="X41" s="417">
        <v>0</v>
      </c>
      <c r="Y41" s="417">
        <v>0</v>
      </c>
      <c r="Z41" s="417">
        <v>0</v>
      </c>
      <c r="AA41" s="417">
        <v>0</v>
      </c>
      <c r="AB41" s="417">
        <v>0</v>
      </c>
      <c r="AC41" s="417">
        <v>0</v>
      </c>
      <c r="AD41" s="417">
        <v>0</v>
      </c>
      <c r="AE41" s="417">
        <v>0</v>
      </c>
      <c r="AF41" s="417">
        <v>0</v>
      </c>
      <c r="AG41" s="417">
        <v>0</v>
      </c>
      <c r="AH41" s="417">
        <v>0</v>
      </c>
      <c r="AI41" s="417">
        <v>0</v>
      </c>
      <c r="AJ41" s="417">
        <v>0</v>
      </c>
      <c r="AK41" s="417">
        <v>0</v>
      </c>
      <c r="AL41" s="417">
        <v>0</v>
      </c>
      <c r="AM41" s="417">
        <v>0</v>
      </c>
      <c r="AN41" s="417">
        <v>0</v>
      </c>
      <c r="AO41" s="417">
        <v>0</v>
      </c>
      <c r="AP41" s="417">
        <v>0</v>
      </c>
      <c r="AQ41" s="417">
        <v>0</v>
      </c>
      <c r="AR41" s="417">
        <v>0</v>
      </c>
    </row>
    <row r="42" spans="1:44" x14ac:dyDescent="0.2">
      <c r="A42" s="380"/>
      <c r="B42" s="380"/>
      <c r="C42" s="52"/>
      <c r="D42" s="440"/>
      <c r="E42" s="380"/>
      <c r="F42" s="380"/>
      <c r="G42" s="380"/>
      <c r="H42" s="380"/>
      <c r="I42" s="380"/>
      <c r="J42" s="380"/>
      <c r="K42" s="380"/>
      <c r="L42" s="380"/>
      <c r="M42" s="380"/>
      <c r="N42" s="380"/>
      <c r="O42" s="380"/>
      <c r="P42" s="380"/>
      <c r="Q42" s="380"/>
      <c r="R42" s="380"/>
      <c r="S42" s="380"/>
      <c r="T42" s="380"/>
      <c r="U42" s="380"/>
      <c r="V42" s="380"/>
      <c r="W42" s="380"/>
      <c r="X42" s="380"/>
      <c r="Y42" s="380"/>
      <c r="Z42" s="380"/>
      <c r="AA42" s="380"/>
      <c r="AB42" s="380"/>
      <c r="AC42" s="380"/>
      <c r="AD42" s="380"/>
      <c r="AE42" s="380"/>
      <c r="AF42" s="380"/>
      <c r="AG42" s="380"/>
      <c r="AH42" s="380"/>
      <c r="AI42" s="380"/>
      <c r="AJ42" s="380"/>
      <c r="AK42" s="380"/>
      <c r="AL42" s="380"/>
      <c r="AM42" s="380"/>
      <c r="AN42" s="380"/>
      <c r="AO42" s="380"/>
      <c r="AP42" s="380"/>
      <c r="AQ42" s="380"/>
      <c r="AR42" s="380"/>
    </row>
    <row r="43" spans="1:44" s="4" customFormat="1" x14ac:dyDescent="0.2">
      <c r="A43" s="449" t="s">
        <v>296</v>
      </c>
      <c r="B43" s="449"/>
      <c r="C43" s="8"/>
      <c r="D43" s="450"/>
      <c r="E43" s="450"/>
      <c r="F43" s="450"/>
      <c r="G43" s="450"/>
      <c r="H43" s="450"/>
      <c r="I43" s="450"/>
      <c r="J43" s="450"/>
      <c r="K43" s="450"/>
      <c r="L43" s="450"/>
      <c r="M43" s="450"/>
      <c r="N43" s="450"/>
      <c r="O43" s="450"/>
      <c r="P43" s="450"/>
      <c r="Q43" s="450"/>
      <c r="R43" s="450"/>
      <c r="S43" s="450"/>
      <c r="T43" s="450"/>
      <c r="U43" s="450"/>
      <c r="V43" s="450"/>
      <c r="W43" s="450"/>
      <c r="X43" s="450"/>
      <c r="Y43" s="450"/>
      <c r="Z43" s="450"/>
      <c r="AA43" s="450"/>
      <c r="AB43" s="450"/>
      <c r="AC43" s="450"/>
      <c r="AD43" s="450"/>
      <c r="AE43" s="450"/>
      <c r="AF43" s="450"/>
      <c r="AG43" s="450"/>
      <c r="AH43" s="450"/>
      <c r="AI43" s="450"/>
      <c r="AJ43" s="450"/>
      <c r="AK43" s="450"/>
      <c r="AL43" s="450"/>
      <c r="AM43" s="450"/>
      <c r="AN43" s="450"/>
      <c r="AO43" s="450"/>
      <c r="AP43" s="450"/>
      <c r="AQ43" s="450"/>
      <c r="AR43" s="450"/>
    </row>
    <row r="44" spans="1:44" ht="15" x14ac:dyDescent="0.25">
      <c r="A44" s="2" t="s">
        <v>297</v>
      </c>
      <c r="B44" s="380"/>
      <c r="C44" s="380"/>
      <c r="D44" s="380"/>
      <c r="E44" s="380"/>
      <c r="F44" s="417"/>
      <c r="G44" s="417"/>
      <c r="H44" s="417"/>
      <c r="I44" s="417"/>
      <c r="J44" s="417"/>
      <c r="K44" s="417"/>
      <c r="L44" s="417"/>
      <c r="M44" s="417"/>
      <c r="N44" s="417"/>
      <c r="O44" s="417"/>
      <c r="P44" s="417"/>
      <c r="Q44" s="417"/>
      <c r="R44" s="417"/>
      <c r="S44" s="417"/>
      <c r="T44" s="417"/>
      <c r="U44" s="417"/>
      <c r="V44" s="417"/>
      <c r="W44" s="417"/>
      <c r="X44" s="417"/>
      <c r="Y44" s="417"/>
      <c r="Z44" s="417"/>
      <c r="AA44" s="417"/>
      <c r="AB44" s="417"/>
      <c r="AC44" s="417"/>
      <c r="AD44" s="417"/>
      <c r="AE44" s="417"/>
      <c r="AF44" s="417"/>
      <c r="AG44" s="417"/>
      <c r="AH44" s="417"/>
      <c r="AI44" s="417"/>
      <c r="AJ44" s="417"/>
      <c r="AK44" s="417"/>
      <c r="AL44" s="417"/>
      <c r="AM44" s="417"/>
      <c r="AN44" s="417"/>
      <c r="AO44" s="417"/>
      <c r="AP44" s="417"/>
      <c r="AQ44" s="417"/>
      <c r="AR44" s="417"/>
    </row>
    <row r="45" spans="1:44" x14ac:dyDescent="0.2">
      <c r="A45" s="380"/>
      <c r="B45" s="380" t="s">
        <v>252</v>
      </c>
      <c r="C45" s="52" t="s">
        <v>86</v>
      </c>
      <c r="D45" s="440">
        <f>SUM(F45:AR45)</f>
        <v>34526.203842844196</v>
      </c>
      <c r="E45" s="380"/>
      <c r="F45" s="417">
        <f>(F$37-F$41)*F$11*F15</f>
        <v>0</v>
      </c>
      <c r="G45" s="417">
        <f t="shared" ref="G45:AR45" si="15">(G$37-G$41)*G$11*G15</f>
        <v>0</v>
      </c>
      <c r="H45" s="417">
        <f t="shared" si="15"/>
        <v>0</v>
      </c>
      <c r="I45" s="417">
        <f t="shared" si="15"/>
        <v>0</v>
      </c>
      <c r="J45" s="417">
        <f t="shared" si="15"/>
        <v>0</v>
      </c>
      <c r="K45" s="417">
        <f t="shared" si="15"/>
        <v>0</v>
      </c>
      <c r="L45" s="417">
        <f t="shared" si="15"/>
        <v>0</v>
      </c>
      <c r="M45" s="417">
        <f t="shared" si="15"/>
        <v>0</v>
      </c>
      <c r="N45" s="417">
        <f t="shared" si="15"/>
        <v>0</v>
      </c>
      <c r="O45" s="417">
        <f t="shared" si="15"/>
        <v>1726.3101921422101</v>
      </c>
      <c r="P45" s="417">
        <f t="shared" si="15"/>
        <v>1726.3101921422101</v>
      </c>
      <c r="Q45" s="417">
        <f t="shared" si="15"/>
        <v>1726.3101921422101</v>
      </c>
      <c r="R45" s="417">
        <f t="shared" si="15"/>
        <v>1726.3101921422101</v>
      </c>
      <c r="S45" s="417">
        <f t="shared" si="15"/>
        <v>1726.3101921422101</v>
      </c>
      <c r="T45" s="417">
        <f t="shared" si="15"/>
        <v>1726.3101921422101</v>
      </c>
      <c r="U45" s="417">
        <f t="shared" si="15"/>
        <v>1726.3101921422101</v>
      </c>
      <c r="V45" s="417">
        <f t="shared" si="15"/>
        <v>1726.3101921422101</v>
      </c>
      <c r="W45" s="417">
        <f t="shared" si="15"/>
        <v>1726.3101921422101</v>
      </c>
      <c r="X45" s="417">
        <f t="shared" si="15"/>
        <v>1726.3101921422101</v>
      </c>
      <c r="Y45" s="417">
        <f t="shared" si="15"/>
        <v>1726.3101921422101</v>
      </c>
      <c r="Z45" s="417">
        <f t="shared" si="15"/>
        <v>1726.3101921422101</v>
      </c>
      <c r="AA45" s="417">
        <f t="shared" si="15"/>
        <v>1726.3101921422101</v>
      </c>
      <c r="AB45" s="417">
        <f t="shared" si="15"/>
        <v>1726.3101921422101</v>
      </c>
      <c r="AC45" s="417">
        <f t="shared" si="15"/>
        <v>1726.3101921422101</v>
      </c>
      <c r="AD45" s="417">
        <f t="shared" si="15"/>
        <v>1726.3101921422101</v>
      </c>
      <c r="AE45" s="417">
        <f t="shared" si="15"/>
        <v>1726.3101921422101</v>
      </c>
      <c r="AF45" s="417">
        <f t="shared" si="15"/>
        <v>1726.3101921422101</v>
      </c>
      <c r="AG45" s="417">
        <f t="shared" si="15"/>
        <v>1726.3101921422101</v>
      </c>
      <c r="AH45" s="417">
        <f t="shared" si="15"/>
        <v>1726.3101921422101</v>
      </c>
      <c r="AI45" s="417">
        <f t="shared" si="15"/>
        <v>0</v>
      </c>
      <c r="AJ45" s="417">
        <f t="shared" si="15"/>
        <v>0</v>
      </c>
      <c r="AK45" s="417">
        <f t="shared" si="15"/>
        <v>0</v>
      </c>
      <c r="AL45" s="417">
        <f t="shared" si="15"/>
        <v>0</v>
      </c>
      <c r="AM45" s="417">
        <f t="shared" si="15"/>
        <v>0</v>
      </c>
      <c r="AN45" s="417">
        <f t="shared" si="15"/>
        <v>0</v>
      </c>
      <c r="AO45" s="417">
        <f t="shared" si="15"/>
        <v>0</v>
      </c>
      <c r="AP45" s="417">
        <f t="shared" si="15"/>
        <v>0</v>
      </c>
      <c r="AQ45" s="417">
        <f t="shared" si="15"/>
        <v>0</v>
      </c>
      <c r="AR45" s="417">
        <f t="shared" si="15"/>
        <v>0</v>
      </c>
    </row>
    <row r="46" spans="1:44" x14ac:dyDescent="0.2">
      <c r="A46" s="380"/>
      <c r="B46" s="380" t="str">
        <f>Inputs!$C$30</f>
        <v>2% Discount Factor</v>
      </c>
      <c r="C46" s="52" t="s">
        <v>86</v>
      </c>
      <c r="D46" s="440">
        <f>SUM(F46:AR46)</f>
        <v>26599.54131415518</v>
      </c>
      <c r="E46" s="380"/>
      <c r="F46" s="417">
        <f t="shared" ref="F46:AR46" si="16">(F$37-F$41)*F$11*F16</f>
        <v>0</v>
      </c>
      <c r="G46" s="417">
        <f t="shared" si="16"/>
        <v>0</v>
      </c>
      <c r="H46" s="417">
        <f t="shared" si="16"/>
        <v>0</v>
      </c>
      <c r="I46" s="417">
        <f t="shared" si="16"/>
        <v>0</v>
      </c>
      <c r="J46" s="417">
        <f t="shared" si="16"/>
        <v>0</v>
      </c>
      <c r="K46" s="417">
        <f t="shared" si="16"/>
        <v>0</v>
      </c>
      <c r="L46" s="417">
        <f t="shared" si="16"/>
        <v>0</v>
      </c>
      <c r="M46" s="417">
        <f t="shared" si="16"/>
        <v>0</v>
      </c>
      <c r="N46" s="417">
        <f t="shared" si="16"/>
        <v>0</v>
      </c>
      <c r="O46" s="417">
        <f t="shared" si="16"/>
        <v>1594.8437749135337</v>
      </c>
      <c r="P46" s="417">
        <f t="shared" si="16"/>
        <v>1563.5723283466018</v>
      </c>
      <c r="Q46" s="417">
        <f t="shared" si="16"/>
        <v>1532.914047398629</v>
      </c>
      <c r="R46" s="417">
        <f t="shared" si="16"/>
        <v>1502.8569092143425</v>
      </c>
      <c r="S46" s="417">
        <f t="shared" si="16"/>
        <v>1473.3891266807277</v>
      </c>
      <c r="T46" s="417">
        <f t="shared" si="16"/>
        <v>1444.4991438046352</v>
      </c>
      <c r="U46" s="417">
        <f t="shared" si="16"/>
        <v>1416.1756311810148</v>
      </c>
      <c r="V46" s="417">
        <f t="shared" si="16"/>
        <v>1388.4074815500146</v>
      </c>
      <c r="W46" s="417">
        <f t="shared" si="16"/>
        <v>1361.1838054411908</v>
      </c>
      <c r="X46" s="417">
        <f t="shared" si="16"/>
        <v>1334.4939269031283</v>
      </c>
      <c r="Y46" s="417">
        <f t="shared" si="16"/>
        <v>1308.3273793167923</v>
      </c>
      <c r="Z46" s="417">
        <f t="shared" si="16"/>
        <v>1282.6739012909729</v>
      </c>
      <c r="AA46" s="417">
        <f t="shared" si="16"/>
        <v>1257.5234326382088</v>
      </c>
      <c r="AB46" s="417">
        <f t="shared" si="16"/>
        <v>1232.8661104296164</v>
      </c>
      <c r="AC46" s="417">
        <f t="shared" si="16"/>
        <v>1208.692265127075</v>
      </c>
      <c r="AD46" s="417">
        <f t="shared" si="16"/>
        <v>1184.99241679125</v>
      </c>
      <c r="AE46" s="417">
        <f t="shared" si="16"/>
        <v>1161.7572713639706</v>
      </c>
      <c r="AF46" s="417">
        <f t="shared" si="16"/>
        <v>1138.9777170235004</v>
      </c>
      <c r="AG46" s="417">
        <f t="shared" si="16"/>
        <v>1116.6448206112748</v>
      </c>
      <c r="AH46" s="417">
        <f t="shared" si="16"/>
        <v>1094.749824128701</v>
      </c>
      <c r="AI46" s="417">
        <f t="shared" si="16"/>
        <v>0</v>
      </c>
      <c r="AJ46" s="417">
        <f t="shared" si="16"/>
        <v>0</v>
      </c>
      <c r="AK46" s="417">
        <f t="shared" si="16"/>
        <v>0</v>
      </c>
      <c r="AL46" s="417">
        <f t="shared" si="16"/>
        <v>0</v>
      </c>
      <c r="AM46" s="417">
        <f t="shared" si="16"/>
        <v>0</v>
      </c>
      <c r="AN46" s="417">
        <f t="shared" si="16"/>
        <v>0</v>
      </c>
      <c r="AO46" s="417">
        <f t="shared" si="16"/>
        <v>0</v>
      </c>
      <c r="AP46" s="417">
        <f t="shared" si="16"/>
        <v>0</v>
      </c>
      <c r="AQ46" s="417">
        <f t="shared" si="16"/>
        <v>0</v>
      </c>
      <c r="AR46" s="417">
        <f t="shared" si="16"/>
        <v>0</v>
      </c>
    </row>
    <row r="47" spans="1:44" x14ac:dyDescent="0.2">
      <c r="A47" s="380"/>
      <c r="B47" s="380" t="str">
        <f>Inputs!$C$31</f>
        <v>3.1% Discount Factor</v>
      </c>
      <c r="C47" s="52" t="s">
        <v>86</v>
      </c>
      <c r="D47" s="440">
        <f>SUM(F47:AR47)</f>
        <v>23220.171476386487</v>
      </c>
      <c r="E47" s="380"/>
      <c r="F47" s="417">
        <f t="shared" ref="F47:AR47" si="17">(F$37-F$41)*F$11*F17</f>
        <v>0</v>
      </c>
      <c r="G47" s="417">
        <f t="shared" si="17"/>
        <v>0</v>
      </c>
      <c r="H47" s="417">
        <f t="shared" si="17"/>
        <v>0</v>
      </c>
      <c r="I47" s="417">
        <f t="shared" si="17"/>
        <v>0</v>
      </c>
      <c r="J47" s="417">
        <f t="shared" si="17"/>
        <v>0</v>
      </c>
      <c r="K47" s="417">
        <f t="shared" si="17"/>
        <v>0</v>
      </c>
      <c r="L47" s="417">
        <f t="shared" si="17"/>
        <v>0</v>
      </c>
      <c r="M47" s="417">
        <f t="shared" si="17"/>
        <v>0</v>
      </c>
      <c r="N47" s="417">
        <f t="shared" si="17"/>
        <v>0</v>
      </c>
      <c r="O47" s="417">
        <f t="shared" si="17"/>
        <v>1527.8621546086833</v>
      </c>
      <c r="P47" s="417">
        <f t="shared" si="17"/>
        <v>1481.9225553915455</v>
      </c>
      <c r="Q47" s="417">
        <f t="shared" si="17"/>
        <v>1437.3642632313731</v>
      </c>
      <c r="R47" s="417">
        <f t="shared" si="17"/>
        <v>1394.1457451322729</v>
      </c>
      <c r="S47" s="417">
        <f t="shared" si="17"/>
        <v>1352.226716908121</v>
      </c>
      <c r="T47" s="417">
        <f t="shared" si="17"/>
        <v>1311.5681056334831</v>
      </c>
      <c r="U47" s="417">
        <f t="shared" si="17"/>
        <v>1272.132013223553</v>
      </c>
      <c r="V47" s="417">
        <f t="shared" si="17"/>
        <v>1233.881681109169</v>
      </c>
      <c r="W47" s="417">
        <f t="shared" si="17"/>
        <v>1196.7814559739757</v>
      </c>
      <c r="X47" s="417">
        <f t="shared" si="17"/>
        <v>1160.7967565218</v>
      </c>
      <c r="Y47" s="417">
        <f t="shared" si="17"/>
        <v>1125.8940412432592</v>
      </c>
      <c r="Z47" s="417">
        <f t="shared" si="17"/>
        <v>1092.0407771515609</v>
      </c>
      <c r="AA47" s="417">
        <f t="shared" si="17"/>
        <v>1059.2054094583518</v>
      </c>
      <c r="AB47" s="417">
        <f t="shared" si="17"/>
        <v>1027.3573321613499</v>
      </c>
      <c r="AC47" s="417">
        <f t="shared" si="17"/>
        <v>996.46685951634345</v>
      </c>
      <c r="AD47" s="417">
        <f t="shared" si="17"/>
        <v>966.50519836696753</v>
      </c>
      <c r="AE47" s="417">
        <f t="shared" si="17"/>
        <v>937.44442130646712</v>
      </c>
      <c r="AF47" s="417">
        <f t="shared" si="17"/>
        <v>909.25744064642788</v>
      </c>
      <c r="AG47" s="417">
        <f t="shared" si="17"/>
        <v>881.91798316821337</v>
      </c>
      <c r="AH47" s="417">
        <f t="shared" si="17"/>
        <v>855.40056563357257</v>
      </c>
      <c r="AI47" s="417">
        <f t="shared" si="17"/>
        <v>0</v>
      </c>
      <c r="AJ47" s="417">
        <f t="shared" si="17"/>
        <v>0</v>
      </c>
      <c r="AK47" s="417">
        <f t="shared" si="17"/>
        <v>0</v>
      </c>
      <c r="AL47" s="417">
        <f t="shared" si="17"/>
        <v>0</v>
      </c>
      <c r="AM47" s="417">
        <f t="shared" si="17"/>
        <v>0</v>
      </c>
      <c r="AN47" s="417">
        <f t="shared" si="17"/>
        <v>0</v>
      </c>
      <c r="AO47" s="417">
        <f t="shared" si="17"/>
        <v>0</v>
      </c>
      <c r="AP47" s="417">
        <f t="shared" si="17"/>
        <v>0</v>
      </c>
      <c r="AQ47" s="417">
        <f t="shared" si="17"/>
        <v>0</v>
      </c>
      <c r="AR47" s="417">
        <f t="shared" si="17"/>
        <v>0</v>
      </c>
    </row>
    <row r="48" spans="1:44" x14ac:dyDescent="0.2">
      <c r="A48" s="380"/>
      <c r="B48" s="380"/>
      <c r="C48" s="52"/>
      <c r="D48" s="440"/>
      <c r="E48" s="380"/>
      <c r="F48" s="417"/>
      <c r="G48" s="417"/>
      <c r="H48" s="417"/>
      <c r="I48" s="417"/>
      <c r="J48" s="417"/>
      <c r="K48" s="417"/>
      <c r="L48" s="417"/>
      <c r="M48" s="417"/>
      <c r="N48" s="417"/>
      <c r="O48" s="417"/>
      <c r="P48" s="417"/>
      <c r="Q48" s="417"/>
      <c r="R48" s="417"/>
      <c r="S48" s="417"/>
      <c r="T48" s="417"/>
      <c r="U48" s="417"/>
      <c r="V48" s="417"/>
      <c r="W48" s="417"/>
      <c r="X48" s="417"/>
      <c r="Y48" s="417"/>
      <c r="Z48" s="417"/>
      <c r="AA48" s="417"/>
      <c r="AB48" s="417"/>
      <c r="AC48" s="417"/>
      <c r="AD48" s="417"/>
      <c r="AE48" s="417"/>
      <c r="AF48" s="417"/>
      <c r="AG48" s="417"/>
      <c r="AH48" s="417"/>
      <c r="AI48" s="417"/>
      <c r="AJ48" s="417"/>
      <c r="AK48" s="417"/>
      <c r="AL48" s="417"/>
      <c r="AM48" s="417"/>
      <c r="AN48" s="417"/>
      <c r="AO48" s="417"/>
      <c r="AP48" s="417"/>
      <c r="AQ48" s="417"/>
      <c r="AR48" s="417"/>
    </row>
  </sheetData>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D077F-C55F-40E8-9639-AAA7A25FE009}">
  <sheetPr>
    <tabColor theme="9"/>
  </sheetPr>
  <dimension ref="A1:AS57"/>
  <sheetViews>
    <sheetView workbookViewId="0">
      <pane xSplit="4" ySplit="11" topLeftCell="E12" activePane="bottomRight" state="frozen"/>
      <selection pane="topRight" activeCell="E1" sqref="E1"/>
      <selection pane="bottomLeft" activeCell="A12" sqref="A12"/>
      <selection pane="bottomRight" activeCell="A4" sqref="A4"/>
    </sheetView>
  </sheetViews>
  <sheetFormatPr defaultColWidth="0" defaultRowHeight="14.25" x14ac:dyDescent="0.2"/>
  <cols>
    <col min="1" max="1" width="11" style="1" customWidth="1"/>
    <col min="2" max="2" width="32.5703125" style="1" bestFit="1" customWidth="1"/>
    <col min="3" max="3" width="15.42578125" style="1" bestFit="1" customWidth="1"/>
    <col min="4" max="4" width="15.7109375" style="1" bestFit="1" customWidth="1"/>
    <col min="5" max="5" width="1.5703125" style="1" customWidth="1"/>
    <col min="6" max="33" width="14.42578125" style="1" customWidth="1"/>
    <col min="34" max="34" width="15.7109375" style="1" bestFit="1" customWidth="1"/>
    <col min="35" max="44" width="14.42578125" style="1" customWidth="1"/>
    <col min="45" max="45" width="9.140625" style="1" customWidth="1"/>
    <col min="46" max="16384" width="9.140625" style="1" hidden="1"/>
  </cols>
  <sheetData>
    <row r="1" spans="1:44" ht="19.5" x14ac:dyDescent="0.3">
      <c r="A1" s="3" t="str">
        <f>Summary!$A$1</f>
        <v>Multimodal Improvements to Safely Connect Tulsa at US-75 and 81st Street Interchange</v>
      </c>
      <c r="B1" s="380"/>
      <c r="C1" s="380"/>
      <c r="D1" s="380"/>
      <c r="E1" s="380"/>
      <c r="F1" s="380"/>
      <c r="G1" s="380"/>
      <c r="H1" s="380"/>
      <c r="I1" s="380"/>
      <c r="J1" s="380"/>
      <c r="K1" s="380"/>
      <c r="L1" s="380"/>
      <c r="M1" s="380"/>
      <c r="N1" s="380"/>
      <c r="O1" s="380"/>
      <c r="P1" s="380"/>
      <c r="Q1" s="380"/>
      <c r="R1" s="380"/>
      <c r="S1" s="380"/>
      <c r="T1" s="380"/>
      <c r="U1" s="380"/>
      <c r="V1" s="380"/>
      <c r="W1" s="380"/>
      <c r="X1" s="380"/>
      <c r="Y1" s="380"/>
      <c r="Z1" s="380"/>
      <c r="AA1" s="380"/>
      <c r="AB1" s="380"/>
      <c r="AC1" s="380"/>
      <c r="AD1" s="380"/>
      <c r="AE1" s="380"/>
      <c r="AF1" s="380"/>
      <c r="AG1" s="380"/>
      <c r="AH1" s="380"/>
      <c r="AI1" s="380"/>
      <c r="AJ1" s="380"/>
      <c r="AK1" s="380"/>
      <c r="AL1" s="380"/>
      <c r="AM1" s="380"/>
      <c r="AN1" s="380"/>
      <c r="AO1" s="380"/>
      <c r="AP1" s="380"/>
      <c r="AQ1" s="380"/>
      <c r="AR1" s="380"/>
    </row>
    <row r="2" spans="1:44" ht="19.5" x14ac:dyDescent="0.3">
      <c r="A2" s="3" t="s">
        <v>374</v>
      </c>
      <c r="B2" s="380"/>
      <c r="C2" s="7"/>
      <c r="D2" s="380"/>
      <c r="E2" s="380"/>
      <c r="F2" s="380"/>
      <c r="G2" s="380"/>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row>
    <row r="3" spans="1:44" x14ac:dyDescent="0.2">
      <c r="A3" s="381">
        <f ca="1">Summary!A3</f>
        <v>45687</v>
      </c>
      <c r="B3" s="380"/>
      <c r="C3" s="358" t="s">
        <v>259</v>
      </c>
      <c r="D3" s="359">
        <f>Summary!$E$9</f>
        <v>1.8138898580989069</v>
      </c>
      <c r="E3" s="380"/>
      <c r="F3" s="380"/>
      <c r="G3" s="380"/>
      <c r="H3" s="380"/>
      <c r="I3" s="380"/>
      <c r="J3" s="380"/>
      <c r="K3" s="380"/>
      <c r="L3" s="380"/>
      <c r="M3" s="380"/>
      <c r="N3" s="380"/>
      <c r="O3" s="380"/>
      <c r="P3" s="380"/>
      <c r="Q3" s="380"/>
      <c r="R3" s="380"/>
      <c r="S3" s="380"/>
      <c r="T3" s="380"/>
      <c r="U3" s="380"/>
      <c r="V3" s="380"/>
      <c r="W3" s="380"/>
      <c r="X3" s="380"/>
      <c r="Y3" s="380"/>
      <c r="Z3" s="380"/>
      <c r="AA3" s="380"/>
      <c r="AB3" s="380"/>
      <c r="AC3" s="380"/>
      <c r="AD3" s="380"/>
      <c r="AE3" s="380"/>
      <c r="AF3" s="380"/>
      <c r="AG3" s="380"/>
      <c r="AH3" s="380"/>
      <c r="AI3" s="380"/>
      <c r="AJ3" s="380"/>
      <c r="AK3" s="380"/>
      <c r="AL3" s="380"/>
      <c r="AM3" s="380"/>
      <c r="AN3" s="380"/>
      <c r="AO3" s="380"/>
      <c r="AP3" s="380"/>
      <c r="AQ3" s="380"/>
      <c r="AR3" s="380"/>
    </row>
    <row r="4" spans="1:44" x14ac:dyDescent="0.2">
      <c r="A4" s="33" t="str">
        <f>Summary!A4</f>
        <v>All $ values 2023, unless otherwise noted</v>
      </c>
      <c r="B4" s="380"/>
      <c r="C4" s="7"/>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c r="AM4" s="380"/>
      <c r="AN4" s="380"/>
      <c r="AO4" s="380"/>
      <c r="AP4" s="380"/>
      <c r="AQ4" s="380"/>
      <c r="AR4" s="380"/>
    </row>
    <row r="5" spans="1:44" x14ac:dyDescent="0.2">
      <c r="A5" s="380"/>
      <c r="B5" s="382"/>
      <c r="C5" s="7"/>
      <c r="D5" s="380"/>
      <c r="E5" s="380"/>
      <c r="F5" s="380"/>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0"/>
      <c r="AO5" s="380"/>
      <c r="AP5" s="380"/>
      <c r="AQ5" s="380"/>
      <c r="AR5" s="380"/>
    </row>
    <row r="6" spans="1:44" x14ac:dyDescent="0.2">
      <c r="A6" s="380"/>
      <c r="B6" s="380"/>
      <c r="C6" s="380" t="s">
        <v>48</v>
      </c>
      <c r="D6" s="380" t="s">
        <v>49</v>
      </c>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row>
    <row r="7" spans="1:44" s="4" customFormat="1" x14ac:dyDescent="0.2">
      <c r="A7" s="450" t="s">
        <v>235</v>
      </c>
      <c r="B7" s="450"/>
      <c r="C7" s="182" t="s">
        <v>235</v>
      </c>
      <c r="D7" s="450"/>
      <c r="E7" s="450"/>
      <c r="F7" s="450">
        <f>Inputs!$E$12</f>
        <v>2018</v>
      </c>
      <c r="G7" s="450">
        <f>F7+1</f>
        <v>2019</v>
      </c>
      <c r="H7" s="450">
        <f t="shared" ref="H7:W8" si="0">G7+1</f>
        <v>2020</v>
      </c>
      <c r="I7" s="450">
        <f t="shared" si="0"/>
        <v>2021</v>
      </c>
      <c r="J7" s="450">
        <f t="shared" si="0"/>
        <v>2022</v>
      </c>
      <c r="K7" s="450">
        <f t="shared" si="0"/>
        <v>2023</v>
      </c>
      <c r="L7" s="450">
        <f t="shared" si="0"/>
        <v>2024</v>
      </c>
      <c r="M7" s="450">
        <f t="shared" si="0"/>
        <v>2025</v>
      </c>
      <c r="N7" s="450">
        <f t="shared" si="0"/>
        <v>2026</v>
      </c>
      <c r="O7" s="450">
        <f t="shared" si="0"/>
        <v>2027</v>
      </c>
      <c r="P7" s="450">
        <f t="shared" si="0"/>
        <v>2028</v>
      </c>
      <c r="Q7" s="450">
        <f t="shared" si="0"/>
        <v>2029</v>
      </c>
      <c r="R7" s="450">
        <f t="shared" si="0"/>
        <v>2030</v>
      </c>
      <c r="S7" s="450">
        <f t="shared" si="0"/>
        <v>2031</v>
      </c>
      <c r="T7" s="450">
        <f t="shared" si="0"/>
        <v>2032</v>
      </c>
      <c r="U7" s="450">
        <f t="shared" si="0"/>
        <v>2033</v>
      </c>
      <c r="V7" s="450">
        <f t="shared" si="0"/>
        <v>2034</v>
      </c>
      <c r="W7" s="450">
        <f t="shared" si="0"/>
        <v>2035</v>
      </c>
      <c r="X7" s="450">
        <f t="shared" ref="X7:AM8" si="1">W7+1</f>
        <v>2036</v>
      </c>
      <c r="Y7" s="450">
        <f t="shared" si="1"/>
        <v>2037</v>
      </c>
      <c r="Z7" s="450">
        <f t="shared" si="1"/>
        <v>2038</v>
      </c>
      <c r="AA7" s="450">
        <f t="shared" si="1"/>
        <v>2039</v>
      </c>
      <c r="AB7" s="450">
        <f t="shared" si="1"/>
        <v>2040</v>
      </c>
      <c r="AC7" s="450">
        <f t="shared" si="1"/>
        <v>2041</v>
      </c>
      <c r="AD7" s="450">
        <f t="shared" si="1"/>
        <v>2042</v>
      </c>
      <c r="AE7" s="450">
        <f t="shared" si="1"/>
        <v>2043</v>
      </c>
      <c r="AF7" s="450">
        <f t="shared" si="1"/>
        <v>2044</v>
      </c>
      <c r="AG7" s="450">
        <f t="shared" si="1"/>
        <v>2045</v>
      </c>
      <c r="AH7" s="450">
        <f t="shared" si="1"/>
        <v>2046</v>
      </c>
      <c r="AI7" s="450">
        <f t="shared" si="1"/>
        <v>2047</v>
      </c>
      <c r="AJ7" s="450">
        <f t="shared" si="1"/>
        <v>2048</v>
      </c>
      <c r="AK7" s="450">
        <f t="shared" si="1"/>
        <v>2049</v>
      </c>
      <c r="AL7" s="450">
        <f t="shared" si="1"/>
        <v>2050</v>
      </c>
      <c r="AM7" s="450">
        <f t="shared" si="1"/>
        <v>2051</v>
      </c>
      <c r="AN7" s="450">
        <f t="shared" ref="AN7:AR8" si="2">AM7+1</f>
        <v>2052</v>
      </c>
      <c r="AO7" s="450">
        <f t="shared" si="2"/>
        <v>2053</v>
      </c>
      <c r="AP7" s="450">
        <f t="shared" si="2"/>
        <v>2054</v>
      </c>
      <c r="AQ7" s="450">
        <f t="shared" si="2"/>
        <v>2055</v>
      </c>
      <c r="AR7" s="450">
        <f t="shared" si="2"/>
        <v>2056</v>
      </c>
    </row>
    <row r="8" spans="1:44" x14ac:dyDescent="0.2">
      <c r="A8" s="380"/>
      <c r="B8" s="380" t="s">
        <v>236</v>
      </c>
      <c r="C8" s="11" t="s">
        <v>54</v>
      </c>
      <c r="D8" s="380"/>
      <c r="E8" s="380"/>
      <c r="F8" s="380">
        <f>D8+1</f>
        <v>1</v>
      </c>
      <c r="G8" s="380">
        <f t="shared" ref="G8" si="3">F8+1</f>
        <v>2</v>
      </c>
      <c r="H8" s="380">
        <f t="shared" si="0"/>
        <v>3</v>
      </c>
      <c r="I8" s="380">
        <f t="shared" si="0"/>
        <v>4</v>
      </c>
      <c r="J8" s="380">
        <f t="shared" si="0"/>
        <v>5</v>
      </c>
      <c r="K8" s="380">
        <f t="shared" si="0"/>
        <v>6</v>
      </c>
      <c r="L8" s="380">
        <f t="shared" si="0"/>
        <v>7</v>
      </c>
      <c r="M8" s="380">
        <f t="shared" si="0"/>
        <v>8</v>
      </c>
      <c r="N8" s="380">
        <f t="shared" si="0"/>
        <v>9</v>
      </c>
      <c r="O8" s="380">
        <f t="shared" si="0"/>
        <v>10</v>
      </c>
      <c r="P8" s="380">
        <f t="shared" si="0"/>
        <v>11</v>
      </c>
      <c r="Q8" s="380">
        <f t="shared" si="0"/>
        <v>12</v>
      </c>
      <c r="R8" s="380">
        <f t="shared" si="0"/>
        <v>13</v>
      </c>
      <c r="S8" s="380">
        <f t="shared" si="0"/>
        <v>14</v>
      </c>
      <c r="T8" s="380">
        <f t="shared" si="0"/>
        <v>15</v>
      </c>
      <c r="U8" s="380">
        <f t="shared" si="0"/>
        <v>16</v>
      </c>
      <c r="V8" s="380">
        <f t="shared" si="0"/>
        <v>17</v>
      </c>
      <c r="W8" s="380">
        <f t="shared" si="0"/>
        <v>18</v>
      </c>
      <c r="X8" s="380">
        <f t="shared" si="1"/>
        <v>19</v>
      </c>
      <c r="Y8" s="380">
        <f t="shared" si="1"/>
        <v>20</v>
      </c>
      <c r="Z8" s="380">
        <f t="shared" si="1"/>
        <v>21</v>
      </c>
      <c r="AA8" s="380">
        <f t="shared" si="1"/>
        <v>22</v>
      </c>
      <c r="AB8" s="380">
        <f t="shared" si="1"/>
        <v>23</v>
      </c>
      <c r="AC8" s="380">
        <f t="shared" si="1"/>
        <v>24</v>
      </c>
      <c r="AD8" s="380">
        <f t="shared" si="1"/>
        <v>25</v>
      </c>
      <c r="AE8" s="380">
        <f t="shared" si="1"/>
        <v>26</v>
      </c>
      <c r="AF8" s="380">
        <f t="shared" si="1"/>
        <v>27</v>
      </c>
      <c r="AG8" s="380">
        <f t="shared" si="1"/>
        <v>28</v>
      </c>
      <c r="AH8" s="380">
        <f t="shared" si="1"/>
        <v>29</v>
      </c>
      <c r="AI8" s="380">
        <f t="shared" si="1"/>
        <v>30</v>
      </c>
      <c r="AJ8" s="380">
        <f t="shared" si="1"/>
        <v>31</v>
      </c>
      <c r="AK8" s="380">
        <f t="shared" si="1"/>
        <v>32</v>
      </c>
      <c r="AL8" s="380">
        <f t="shared" si="1"/>
        <v>33</v>
      </c>
      <c r="AM8" s="380">
        <f t="shared" si="1"/>
        <v>34</v>
      </c>
      <c r="AN8" s="380">
        <f t="shared" si="2"/>
        <v>35</v>
      </c>
      <c r="AO8" s="380">
        <f t="shared" si="2"/>
        <v>36</v>
      </c>
      <c r="AP8" s="380">
        <f t="shared" si="2"/>
        <v>37</v>
      </c>
      <c r="AQ8" s="380">
        <f t="shared" si="2"/>
        <v>38</v>
      </c>
      <c r="AR8" s="380">
        <f t="shared" si="2"/>
        <v>39</v>
      </c>
    </row>
    <row r="9" spans="1:44" x14ac:dyDescent="0.2">
      <c r="A9" s="380"/>
      <c r="B9" s="380" t="s">
        <v>237</v>
      </c>
      <c r="C9" s="11" t="s">
        <v>238</v>
      </c>
      <c r="D9" s="380"/>
      <c r="E9" s="380"/>
      <c r="F9" s="380">
        <f>IF(F7=Inputs!$E$13,1,0)</f>
        <v>0</v>
      </c>
      <c r="G9" s="380">
        <f>IF(G7=Inputs!$E$13,1,0)</f>
        <v>0</v>
      </c>
      <c r="H9" s="380">
        <f>IF(H7=Inputs!$E$13,1,0)</f>
        <v>0</v>
      </c>
      <c r="I9" s="380">
        <f>IF(I7=Inputs!$E$13,1,0)</f>
        <v>0</v>
      </c>
      <c r="J9" s="380">
        <f>IF(J7=Inputs!$E$13,1,0)</f>
        <v>0</v>
      </c>
      <c r="K9" s="380">
        <f>IF(K7=Inputs!$E$13,1,0)</f>
        <v>1</v>
      </c>
      <c r="L9" s="380">
        <f>IF(L7=Inputs!$E$13,1,0)</f>
        <v>0</v>
      </c>
      <c r="M9" s="380">
        <f>IF(M7=Inputs!$E$13,1,0)</f>
        <v>0</v>
      </c>
      <c r="N9" s="380">
        <f>IF(N7=Inputs!$E$13,1,0)</f>
        <v>0</v>
      </c>
      <c r="O9" s="380">
        <f>IF(O7=Inputs!$E$13,1,0)</f>
        <v>0</v>
      </c>
      <c r="P9" s="380">
        <f>IF(P7=Inputs!$E$13,1,0)</f>
        <v>0</v>
      </c>
      <c r="Q9" s="380">
        <f>IF(Q7=Inputs!$E$13,1,0)</f>
        <v>0</v>
      </c>
      <c r="R9" s="380">
        <f>IF(R7=Inputs!$E$13,1,0)</f>
        <v>0</v>
      </c>
      <c r="S9" s="380">
        <f>IF(S7=Inputs!$E$13,1,0)</f>
        <v>0</v>
      </c>
      <c r="T9" s="380">
        <f>IF(T7=Inputs!$E$13,1,0)</f>
        <v>0</v>
      </c>
      <c r="U9" s="380">
        <f>IF(U7=Inputs!$E$13,1,0)</f>
        <v>0</v>
      </c>
      <c r="V9" s="380">
        <f>IF(V7=Inputs!$E$13,1,0)</f>
        <v>0</v>
      </c>
      <c r="W9" s="380">
        <f>IF(W7=Inputs!$E$13,1,0)</f>
        <v>0</v>
      </c>
      <c r="X9" s="380">
        <f>IF(X7=Inputs!$E$13,1,0)</f>
        <v>0</v>
      </c>
      <c r="Y9" s="380">
        <f>IF(Y7=Inputs!$E$13,1,0)</f>
        <v>0</v>
      </c>
      <c r="Z9" s="380">
        <f>IF(Z7=Inputs!$E$13,1,0)</f>
        <v>0</v>
      </c>
      <c r="AA9" s="380">
        <f>IF(AA7=Inputs!$E$13,1,0)</f>
        <v>0</v>
      </c>
      <c r="AB9" s="380">
        <f>IF(AB7=Inputs!$E$13,1,0)</f>
        <v>0</v>
      </c>
      <c r="AC9" s="380">
        <f>IF(AC7=Inputs!$E$13,1,0)</f>
        <v>0</v>
      </c>
      <c r="AD9" s="380">
        <f>IF(AD7=Inputs!$E$13,1,0)</f>
        <v>0</v>
      </c>
      <c r="AE9" s="380">
        <f>IF(AE7=Inputs!$E$13,1,0)</f>
        <v>0</v>
      </c>
      <c r="AF9" s="380">
        <f>IF(AF7=Inputs!$E$13,1,0)</f>
        <v>0</v>
      </c>
      <c r="AG9" s="380">
        <f>IF(AG7=Inputs!$E$13,1,0)</f>
        <v>0</v>
      </c>
      <c r="AH9" s="380">
        <f>IF(AH7=Inputs!$E$13,1,0)</f>
        <v>0</v>
      </c>
      <c r="AI9" s="380">
        <f>IF(AI7=Inputs!$E$13,1,0)</f>
        <v>0</v>
      </c>
      <c r="AJ9" s="380">
        <f>IF(AJ7=Inputs!$E$13,1,0)</f>
        <v>0</v>
      </c>
      <c r="AK9" s="380">
        <f>IF(AK7=Inputs!$E$13,1,0)</f>
        <v>0</v>
      </c>
      <c r="AL9" s="380">
        <f>IF(AL7=Inputs!$E$13,1,0)</f>
        <v>0</v>
      </c>
      <c r="AM9" s="380">
        <f>IF(AM7=Inputs!$E$13,1,0)</f>
        <v>0</v>
      </c>
      <c r="AN9" s="380">
        <f>IF(AN7=Inputs!$E$13,1,0)</f>
        <v>0</v>
      </c>
      <c r="AO9" s="380">
        <f>IF(AO7=Inputs!$E$13,1,0)</f>
        <v>0</v>
      </c>
      <c r="AP9" s="380">
        <f>IF(AP7=Inputs!$E$13,1,0)</f>
        <v>0</v>
      </c>
      <c r="AQ9" s="380">
        <f>IF(AQ7=Inputs!$E$13,1,0)</f>
        <v>0</v>
      </c>
      <c r="AR9" s="380">
        <f>IF(AR7=Inputs!$E$13,1,0)</f>
        <v>0</v>
      </c>
    </row>
    <row r="10" spans="1:44" x14ac:dyDescent="0.2">
      <c r="A10" s="380"/>
      <c r="B10" s="380" t="s">
        <v>239</v>
      </c>
      <c r="C10" s="11" t="s">
        <v>61</v>
      </c>
      <c r="D10" s="380"/>
      <c r="E10" s="380"/>
      <c r="F10" s="428">
        <f>F7-Inputs!$E$13</f>
        <v>-5</v>
      </c>
      <c r="G10" s="428">
        <f>G7-Inputs!$E$13</f>
        <v>-4</v>
      </c>
      <c r="H10" s="428">
        <f>H7-Inputs!$E$13</f>
        <v>-3</v>
      </c>
      <c r="I10" s="428">
        <f>I7-Inputs!$E$13</f>
        <v>-2</v>
      </c>
      <c r="J10" s="428">
        <f>J7-Inputs!$E$13</f>
        <v>-1</v>
      </c>
      <c r="K10" s="428">
        <f>K7-Inputs!$E$13</f>
        <v>0</v>
      </c>
      <c r="L10" s="428">
        <f>L7-Inputs!$E$13</f>
        <v>1</v>
      </c>
      <c r="M10" s="428">
        <f>M7-Inputs!$E$13</f>
        <v>2</v>
      </c>
      <c r="N10" s="428">
        <f>N7-Inputs!$E$13</f>
        <v>3</v>
      </c>
      <c r="O10" s="428">
        <f>O7-Inputs!$E$13</f>
        <v>4</v>
      </c>
      <c r="P10" s="428">
        <f>P7-Inputs!$E$13</f>
        <v>5</v>
      </c>
      <c r="Q10" s="428">
        <f>Q7-Inputs!$E$13</f>
        <v>6</v>
      </c>
      <c r="R10" s="428">
        <f>R7-Inputs!$E$13</f>
        <v>7</v>
      </c>
      <c r="S10" s="428">
        <f>S7-Inputs!$E$13</f>
        <v>8</v>
      </c>
      <c r="T10" s="428">
        <f>T7-Inputs!$E$13</f>
        <v>9</v>
      </c>
      <c r="U10" s="428">
        <f>U7-Inputs!$E$13</f>
        <v>10</v>
      </c>
      <c r="V10" s="428">
        <f>V7-Inputs!$E$13</f>
        <v>11</v>
      </c>
      <c r="W10" s="428">
        <f>W7-Inputs!$E$13</f>
        <v>12</v>
      </c>
      <c r="X10" s="428">
        <f>X7-Inputs!$E$13</f>
        <v>13</v>
      </c>
      <c r="Y10" s="428">
        <f>Y7-Inputs!$E$13</f>
        <v>14</v>
      </c>
      <c r="Z10" s="428">
        <f>Z7-Inputs!$E$13</f>
        <v>15</v>
      </c>
      <c r="AA10" s="428">
        <f>AA7-Inputs!$E$13</f>
        <v>16</v>
      </c>
      <c r="AB10" s="428">
        <f>AB7-Inputs!$E$13</f>
        <v>17</v>
      </c>
      <c r="AC10" s="428">
        <f>AC7-Inputs!$E$13</f>
        <v>18</v>
      </c>
      <c r="AD10" s="428">
        <f>AD7-Inputs!$E$13</f>
        <v>19</v>
      </c>
      <c r="AE10" s="428">
        <f>AE7-Inputs!$E$13</f>
        <v>20</v>
      </c>
      <c r="AF10" s="428">
        <f>AF7-Inputs!$E$13</f>
        <v>21</v>
      </c>
      <c r="AG10" s="428">
        <f>AG7-Inputs!$E$13</f>
        <v>22</v>
      </c>
      <c r="AH10" s="428">
        <f>AH7-Inputs!$E$13</f>
        <v>23</v>
      </c>
      <c r="AI10" s="428">
        <f>AI7-Inputs!$E$13</f>
        <v>24</v>
      </c>
      <c r="AJ10" s="428">
        <f>AJ7-Inputs!$E$13</f>
        <v>25</v>
      </c>
      <c r="AK10" s="428">
        <f>AK7-Inputs!$E$13</f>
        <v>26</v>
      </c>
      <c r="AL10" s="428">
        <f>AL7-Inputs!$E$13</f>
        <v>27</v>
      </c>
      <c r="AM10" s="428">
        <f>AM7-Inputs!$E$13</f>
        <v>28</v>
      </c>
      <c r="AN10" s="428">
        <f>AN7-Inputs!$E$13</f>
        <v>29</v>
      </c>
      <c r="AO10" s="428">
        <f>AO7-Inputs!$E$13</f>
        <v>30</v>
      </c>
      <c r="AP10" s="428">
        <f>AP7-Inputs!$E$13</f>
        <v>31</v>
      </c>
      <c r="AQ10" s="428">
        <f>AQ7-Inputs!$E$13</f>
        <v>32</v>
      </c>
      <c r="AR10" s="428">
        <f>AR7-Inputs!$E$13</f>
        <v>33</v>
      </c>
    </row>
    <row r="11" spans="1:44" x14ac:dyDescent="0.2">
      <c r="A11" s="380"/>
      <c r="B11" s="380" t="s">
        <v>240</v>
      </c>
      <c r="C11" s="11" t="s">
        <v>238</v>
      </c>
      <c r="D11" s="380"/>
      <c r="E11" s="380"/>
      <c r="F11" s="380">
        <f>IF(AND(F7&gt;=Inputs!$E$17,F7&lt;Inputs!$E$26),1,0)</f>
        <v>0</v>
      </c>
      <c r="G11" s="380">
        <f>IF(AND(G7&gt;=Inputs!$E$17,G7&lt;Inputs!$E$26),1,0)</f>
        <v>0</v>
      </c>
      <c r="H11" s="380">
        <f>IF(AND(H7&gt;=Inputs!$E$17,H7&lt;Inputs!$E$26),1,0)</f>
        <v>0</v>
      </c>
      <c r="I11" s="380">
        <f>IF(AND(I7&gt;=Inputs!$E$17,I7&lt;Inputs!$E$26),1,0)</f>
        <v>0</v>
      </c>
      <c r="J11" s="380">
        <f>IF(AND(J7&gt;=Inputs!$E$17,J7&lt;Inputs!$E$26),1,0)</f>
        <v>0</v>
      </c>
      <c r="K11" s="380">
        <f>IF(AND(K7&gt;=Inputs!$E$17,K7&lt;Inputs!$E$26),1,0)</f>
        <v>0</v>
      </c>
      <c r="L11" s="380">
        <f>IF(AND(L7&gt;=Inputs!$E$17,L7&lt;Inputs!$E$26),1,0)</f>
        <v>0</v>
      </c>
      <c r="M11" s="380">
        <f>IF(AND(M7&gt;=Inputs!$E$17,M7&lt;Inputs!$E$26),1,0)</f>
        <v>0</v>
      </c>
      <c r="N11" s="380">
        <f>IF(AND(N7&gt;=Inputs!$E$17,N7&lt;Inputs!$E$26),1,0)</f>
        <v>0</v>
      </c>
      <c r="O11" s="380">
        <f>IF(AND(O7&gt;=Inputs!$E$17,O7&lt;Inputs!$E$26),1,0)</f>
        <v>1</v>
      </c>
      <c r="P11" s="380">
        <f>IF(AND(P7&gt;=Inputs!$E$17,P7&lt;Inputs!$E$26),1,0)</f>
        <v>1</v>
      </c>
      <c r="Q11" s="380">
        <f>IF(AND(Q7&gt;=Inputs!$E$17,Q7&lt;Inputs!$E$26),1,0)</f>
        <v>1</v>
      </c>
      <c r="R11" s="380">
        <f>IF(AND(R7&gt;=Inputs!$E$17,R7&lt;Inputs!$E$26),1,0)</f>
        <v>1</v>
      </c>
      <c r="S11" s="380">
        <f>IF(AND(S7&gt;=Inputs!$E$17,S7&lt;Inputs!$E$26),1,0)</f>
        <v>1</v>
      </c>
      <c r="T11" s="380">
        <f>IF(AND(T7&gt;=Inputs!$E$17,T7&lt;Inputs!$E$26),1,0)</f>
        <v>1</v>
      </c>
      <c r="U11" s="380">
        <f>IF(AND(U7&gt;=Inputs!$E$17,U7&lt;Inputs!$E$26),1,0)</f>
        <v>1</v>
      </c>
      <c r="V11" s="380">
        <f>IF(AND(V7&gt;=Inputs!$E$17,V7&lt;Inputs!$E$26),1,0)</f>
        <v>1</v>
      </c>
      <c r="W11" s="380">
        <f>IF(AND(W7&gt;=Inputs!$E$17,W7&lt;Inputs!$E$26),1,0)</f>
        <v>1</v>
      </c>
      <c r="X11" s="380">
        <f>IF(AND(X7&gt;=Inputs!$E$17,X7&lt;Inputs!$E$26),1,0)</f>
        <v>1</v>
      </c>
      <c r="Y11" s="380">
        <f>IF(AND(Y7&gt;=Inputs!$E$17,Y7&lt;Inputs!$E$26),1,0)</f>
        <v>1</v>
      </c>
      <c r="Z11" s="380">
        <f>IF(AND(Z7&gt;=Inputs!$E$17,Z7&lt;Inputs!$E$26),1,0)</f>
        <v>1</v>
      </c>
      <c r="AA11" s="380">
        <f>IF(AND(AA7&gt;=Inputs!$E$17,AA7&lt;Inputs!$E$26),1,0)</f>
        <v>1</v>
      </c>
      <c r="AB11" s="380">
        <f>IF(AND(AB7&gt;=Inputs!$E$17,AB7&lt;Inputs!$E$26),1,0)</f>
        <v>1</v>
      </c>
      <c r="AC11" s="380">
        <f>IF(AND(AC7&gt;=Inputs!$E$17,AC7&lt;Inputs!$E$26),1,0)</f>
        <v>1</v>
      </c>
      <c r="AD11" s="380">
        <f>IF(AND(AD7&gt;=Inputs!$E$17,AD7&lt;Inputs!$E$26),1,0)</f>
        <v>1</v>
      </c>
      <c r="AE11" s="380">
        <f>IF(AND(AE7&gt;=Inputs!$E$17,AE7&lt;Inputs!$E$26),1,0)</f>
        <v>1</v>
      </c>
      <c r="AF11" s="380">
        <f>IF(AND(AF7&gt;=Inputs!$E$17,AF7&lt;Inputs!$E$26),1,0)</f>
        <v>1</v>
      </c>
      <c r="AG11" s="380">
        <f>IF(AND(AG7&gt;=Inputs!$E$17,AG7&lt;Inputs!$E$26),1,0)</f>
        <v>1</v>
      </c>
      <c r="AH11" s="380">
        <f>IF(AND(AH7&gt;=Inputs!$E$17,AH7&lt;Inputs!$E$26),1,0)</f>
        <v>1</v>
      </c>
      <c r="AI11" s="380">
        <f>IF(AND(AI7&gt;=Inputs!$E$17,AI7&lt;Inputs!$E$26),1,0)</f>
        <v>0</v>
      </c>
      <c r="AJ11" s="380">
        <f>IF(AND(AJ7&gt;=Inputs!$E$17,AJ7&lt;Inputs!$E$26),1,0)</f>
        <v>0</v>
      </c>
      <c r="AK11" s="380">
        <f>IF(AND(AK7&gt;=Inputs!$E$17,AK7&lt;Inputs!$E$26),1,0)</f>
        <v>0</v>
      </c>
      <c r="AL11" s="380">
        <f>IF(AND(AL7&gt;=Inputs!$E$17,AL7&lt;Inputs!$E$26),1,0)</f>
        <v>0</v>
      </c>
      <c r="AM11" s="380">
        <f>IF(AND(AM7&gt;=Inputs!$E$17,AM7&lt;Inputs!$E$26),1,0)</f>
        <v>0</v>
      </c>
      <c r="AN11" s="380">
        <f>IF(AND(AN7&gt;=Inputs!$E$17,AN7&lt;Inputs!$E$26),1,0)</f>
        <v>0</v>
      </c>
      <c r="AO11" s="380">
        <f>IF(AND(AO7&gt;=Inputs!$E$17,AO7&lt;Inputs!$E$26),1,0)</f>
        <v>0</v>
      </c>
      <c r="AP11" s="380">
        <f>IF(AND(AP7&gt;=Inputs!$E$17,AP7&lt;Inputs!$E$26),1,0)</f>
        <v>0</v>
      </c>
      <c r="AQ11" s="380">
        <f>IF(AND(AQ7&gt;=Inputs!$E$17,AQ7&lt;Inputs!$E$26),1,0)</f>
        <v>0</v>
      </c>
      <c r="AR11" s="380">
        <f>IF(AND(AR7&gt;=Inputs!$E$17,AR7&lt;Inputs!$E$26),1,0)</f>
        <v>0</v>
      </c>
    </row>
    <row r="12" spans="1:44" ht="15" x14ac:dyDescent="0.25">
      <c r="A12" s="2" t="s">
        <v>241</v>
      </c>
      <c r="B12" s="380"/>
      <c r="C12" s="11"/>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0"/>
      <c r="AI12" s="380"/>
      <c r="AJ12" s="380"/>
      <c r="AK12" s="380"/>
      <c r="AL12" s="380"/>
      <c r="AM12" s="380"/>
      <c r="AN12" s="380"/>
      <c r="AO12" s="380"/>
      <c r="AP12" s="380"/>
      <c r="AQ12" s="380"/>
      <c r="AR12" s="380"/>
    </row>
    <row r="13" spans="1:44" x14ac:dyDescent="0.2">
      <c r="A13" s="380"/>
      <c r="B13" s="380" t="s">
        <v>242</v>
      </c>
      <c r="C13" s="11" t="s">
        <v>54</v>
      </c>
      <c r="D13" s="380"/>
      <c r="E13" s="380"/>
      <c r="F13" s="380">
        <f>(F11+D13)*F11</f>
        <v>0</v>
      </c>
      <c r="G13" s="380">
        <f t="shared" ref="G13:AG13" si="4">(G11+F13)*G11</f>
        <v>0</v>
      </c>
      <c r="H13" s="380">
        <f t="shared" si="4"/>
        <v>0</v>
      </c>
      <c r="I13" s="380">
        <f t="shared" si="4"/>
        <v>0</v>
      </c>
      <c r="J13" s="380">
        <f t="shared" si="4"/>
        <v>0</v>
      </c>
      <c r="K13" s="380">
        <f t="shared" si="4"/>
        <v>0</v>
      </c>
      <c r="L13" s="380">
        <f t="shared" si="4"/>
        <v>0</v>
      </c>
      <c r="M13" s="380">
        <f t="shared" si="4"/>
        <v>0</v>
      </c>
      <c r="N13" s="380">
        <f t="shared" si="4"/>
        <v>0</v>
      </c>
      <c r="O13" s="380">
        <f t="shared" si="4"/>
        <v>1</v>
      </c>
      <c r="P13" s="380">
        <f t="shared" si="4"/>
        <v>2</v>
      </c>
      <c r="Q13" s="380">
        <f t="shared" si="4"/>
        <v>3</v>
      </c>
      <c r="R13" s="380">
        <f t="shared" si="4"/>
        <v>4</v>
      </c>
      <c r="S13" s="380">
        <f t="shared" si="4"/>
        <v>5</v>
      </c>
      <c r="T13" s="380">
        <f t="shared" si="4"/>
        <v>6</v>
      </c>
      <c r="U13" s="380">
        <f t="shared" si="4"/>
        <v>7</v>
      </c>
      <c r="V13" s="380">
        <f t="shared" si="4"/>
        <v>8</v>
      </c>
      <c r="W13" s="380">
        <f t="shared" si="4"/>
        <v>9</v>
      </c>
      <c r="X13" s="380">
        <f t="shared" si="4"/>
        <v>10</v>
      </c>
      <c r="Y13" s="380">
        <f t="shared" si="4"/>
        <v>11</v>
      </c>
      <c r="Z13" s="380">
        <f t="shared" si="4"/>
        <v>12</v>
      </c>
      <c r="AA13" s="380">
        <f t="shared" si="4"/>
        <v>13</v>
      </c>
      <c r="AB13" s="380">
        <f t="shared" si="4"/>
        <v>14</v>
      </c>
      <c r="AC13" s="380">
        <f t="shared" si="4"/>
        <v>15</v>
      </c>
      <c r="AD13" s="380">
        <f t="shared" si="4"/>
        <v>16</v>
      </c>
      <c r="AE13" s="380">
        <f t="shared" si="4"/>
        <v>17</v>
      </c>
      <c r="AF13" s="380">
        <f t="shared" si="4"/>
        <v>18</v>
      </c>
      <c r="AG13" s="380">
        <f t="shared" si="4"/>
        <v>19</v>
      </c>
      <c r="AH13" s="380">
        <f>(AH11+AG13)*AH11</f>
        <v>20</v>
      </c>
      <c r="AI13" s="380">
        <f t="shared" ref="AI13:AR13" si="5">(AI11+AH13)*AI11</f>
        <v>0</v>
      </c>
      <c r="AJ13" s="380">
        <f t="shared" si="5"/>
        <v>0</v>
      </c>
      <c r="AK13" s="380">
        <f t="shared" si="5"/>
        <v>0</v>
      </c>
      <c r="AL13" s="380">
        <f t="shared" si="5"/>
        <v>0</v>
      </c>
      <c r="AM13" s="380">
        <f t="shared" si="5"/>
        <v>0</v>
      </c>
      <c r="AN13" s="380">
        <f t="shared" si="5"/>
        <v>0</v>
      </c>
      <c r="AO13" s="380">
        <f t="shared" si="5"/>
        <v>0</v>
      </c>
      <c r="AP13" s="380">
        <f t="shared" si="5"/>
        <v>0</v>
      </c>
      <c r="AQ13" s="380">
        <f t="shared" si="5"/>
        <v>0</v>
      </c>
      <c r="AR13" s="380">
        <f t="shared" si="5"/>
        <v>0</v>
      </c>
    </row>
    <row r="14" spans="1:44" ht="15" x14ac:dyDescent="0.25">
      <c r="A14" s="2" t="s">
        <v>9</v>
      </c>
      <c r="B14" s="380"/>
      <c r="C14" s="11"/>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c r="AB14" s="380"/>
      <c r="AC14" s="380"/>
      <c r="AD14" s="380"/>
      <c r="AE14" s="380"/>
      <c r="AF14" s="380"/>
      <c r="AG14" s="380"/>
      <c r="AH14" s="380"/>
      <c r="AI14" s="380"/>
      <c r="AJ14" s="380"/>
      <c r="AK14" s="380"/>
      <c r="AL14" s="380"/>
      <c r="AM14" s="380"/>
      <c r="AN14" s="380"/>
      <c r="AO14" s="380"/>
      <c r="AP14" s="380"/>
      <c r="AQ14" s="380"/>
      <c r="AR14" s="380"/>
    </row>
    <row r="15" spans="1:44" x14ac:dyDescent="0.2">
      <c r="A15" s="380"/>
      <c r="B15" s="380" t="s">
        <v>75</v>
      </c>
      <c r="C15" s="11" t="s">
        <v>54</v>
      </c>
      <c r="D15" s="445">
        <f>Inputs!E29</f>
        <v>0</v>
      </c>
      <c r="E15" s="445"/>
      <c r="F15" s="446">
        <f t="shared" ref="F15:L15" si="6">1/(1+$D15)^(F$10)</f>
        <v>1</v>
      </c>
      <c r="G15" s="446">
        <f t="shared" si="6"/>
        <v>1</v>
      </c>
      <c r="H15" s="446">
        <f t="shared" si="6"/>
        <v>1</v>
      </c>
      <c r="I15" s="446">
        <f t="shared" si="6"/>
        <v>1</v>
      </c>
      <c r="J15" s="446">
        <f t="shared" si="6"/>
        <v>1</v>
      </c>
      <c r="K15" s="446">
        <f t="shared" si="6"/>
        <v>1</v>
      </c>
      <c r="L15" s="446">
        <f t="shared" si="6"/>
        <v>1</v>
      </c>
      <c r="M15" s="446">
        <f>1/(1+$D15)^(M$10)</f>
        <v>1</v>
      </c>
      <c r="N15" s="446">
        <f t="shared" ref="N15:AR15" si="7">1/(1+$D15)^(N$10)</f>
        <v>1</v>
      </c>
      <c r="O15" s="446">
        <f t="shared" si="7"/>
        <v>1</v>
      </c>
      <c r="P15" s="446">
        <f t="shared" si="7"/>
        <v>1</v>
      </c>
      <c r="Q15" s="446">
        <f t="shared" si="7"/>
        <v>1</v>
      </c>
      <c r="R15" s="446">
        <f t="shared" si="7"/>
        <v>1</v>
      </c>
      <c r="S15" s="446">
        <f t="shared" si="7"/>
        <v>1</v>
      </c>
      <c r="T15" s="446">
        <f t="shared" si="7"/>
        <v>1</v>
      </c>
      <c r="U15" s="446">
        <f t="shared" si="7"/>
        <v>1</v>
      </c>
      <c r="V15" s="446">
        <f t="shared" si="7"/>
        <v>1</v>
      </c>
      <c r="W15" s="446">
        <f t="shared" si="7"/>
        <v>1</v>
      </c>
      <c r="X15" s="446">
        <f t="shared" si="7"/>
        <v>1</v>
      </c>
      <c r="Y15" s="446">
        <f t="shared" si="7"/>
        <v>1</v>
      </c>
      <c r="Z15" s="446">
        <f t="shared" si="7"/>
        <v>1</v>
      </c>
      <c r="AA15" s="446">
        <f t="shared" si="7"/>
        <v>1</v>
      </c>
      <c r="AB15" s="446">
        <f t="shared" si="7"/>
        <v>1</v>
      </c>
      <c r="AC15" s="446">
        <f t="shared" si="7"/>
        <v>1</v>
      </c>
      <c r="AD15" s="446">
        <f t="shared" si="7"/>
        <v>1</v>
      </c>
      <c r="AE15" s="446">
        <f t="shared" si="7"/>
        <v>1</v>
      </c>
      <c r="AF15" s="446">
        <f t="shared" si="7"/>
        <v>1</v>
      </c>
      <c r="AG15" s="446">
        <f t="shared" si="7"/>
        <v>1</v>
      </c>
      <c r="AH15" s="446">
        <f t="shared" si="7"/>
        <v>1</v>
      </c>
      <c r="AI15" s="446">
        <f t="shared" si="7"/>
        <v>1</v>
      </c>
      <c r="AJ15" s="446">
        <f t="shared" si="7"/>
        <v>1</v>
      </c>
      <c r="AK15" s="446">
        <f t="shared" si="7"/>
        <v>1</v>
      </c>
      <c r="AL15" s="446">
        <f t="shared" si="7"/>
        <v>1</v>
      </c>
      <c r="AM15" s="446">
        <f t="shared" si="7"/>
        <v>1</v>
      </c>
      <c r="AN15" s="446">
        <f t="shared" si="7"/>
        <v>1</v>
      </c>
      <c r="AO15" s="446">
        <f t="shared" si="7"/>
        <v>1</v>
      </c>
      <c r="AP15" s="446">
        <f t="shared" si="7"/>
        <v>1</v>
      </c>
      <c r="AQ15" s="446">
        <f t="shared" si="7"/>
        <v>1</v>
      </c>
      <c r="AR15" s="446">
        <f t="shared" si="7"/>
        <v>1</v>
      </c>
    </row>
    <row r="16" spans="1:44" x14ac:dyDescent="0.2">
      <c r="A16" s="380"/>
      <c r="B16" s="380" t="str">
        <f>Inputs!$C$30</f>
        <v>2% Discount Factor</v>
      </c>
      <c r="C16" s="11" t="s">
        <v>54</v>
      </c>
      <c r="D16" s="445">
        <f>Inputs!E30</f>
        <v>0.02</v>
      </c>
      <c r="E16" s="445"/>
      <c r="F16" s="446">
        <f t="shared" ref="F16:L16" si="8">MIN(1,IF(F10=0,1,1/(1+$D16)^(F$10)))</f>
        <v>1</v>
      </c>
      <c r="G16" s="446">
        <f t="shared" si="8"/>
        <v>1</v>
      </c>
      <c r="H16" s="446">
        <f t="shared" si="8"/>
        <v>1</v>
      </c>
      <c r="I16" s="446">
        <f t="shared" si="8"/>
        <v>1</v>
      </c>
      <c r="J16" s="446">
        <f t="shared" si="8"/>
        <v>1</v>
      </c>
      <c r="K16" s="446">
        <f t="shared" si="8"/>
        <v>1</v>
      </c>
      <c r="L16" s="446">
        <f t="shared" si="8"/>
        <v>0.98039215686274506</v>
      </c>
      <c r="M16" s="446">
        <f>MIN(1,IF(M10=0,1,1/(1+$D16)^(M$10)))</f>
        <v>0.96116878123798544</v>
      </c>
      <c r="N16" s="446">
        <f t="shared" ref="N16:AR16" si="9">MIN(1,IF(N10=0,1,1/(1+$D16)^(N$10)))</f>
        <v>0.94232233454704462</v>
      </c>
      <c r="O16" s="446">
        <f t="shared" si="9"/>
        <v>0.9238454260265142</v>
      </c>
      <c r="P16" s="446">
        <f t="shared" si="9"/>
        <v>0.90573080982991594</v>
      </c>
      <c r="Q16" s="446">
        <f t="shared" si="9"/>
        <v>0.88797138218619198</v>
      </c>
      <c r="R16" s="446">
        <f t="shared" si="9"/>
        <v>0.87056017861391388</v>
      </c>
      <c r="S16" s="446">
        <f t="shared" si="9"/>
        <v>0.85349037119011162</v>
      </c>
      <c r="T16" s="446">
        <f t="shared" si="9"/>
        <v>0.83675526587265847</v>
      </c>
      <c r="U16" s="446">
        <f t="shared" si="9"/>
        <v>0.82034829987515534</v>
      </c>
      <c r="V16" s="446">
        <f t="shared" si="9"/>
        <v>0.80426303909328967</v>
      </c>
      <c r="W16" s="446">
        <f t="shared" si="9"/>
        <v>0.78849317558165644</v>
      </c>
      <c r="X16" s="446">
        <f t="shared" si="9"/>
        <v>0.77303252508005538</v>
      </c>
      <c r="Y16" s="446">
        <f t="shared" si="9"/>
        <v>0.75787502458828948</v>
      </c>
      <c r="Z16" s="446">
        <f t="shared" si="9"/>
        <v>0.74301472998851925</v>
      </c>
      <c r="AA16" s="446">
        <f t="shared" si="9"/>
        <v>0.72844581371423445</v>
      </c>
      <c r="AB16" s="446">
        <f t="shared" si="9"/>
        <v>0.7141625624649357</v>
      </c>
      <c r="AC16" s="446">
        <f t="shared" si="9"/>
        <v>0.7001593749656233</v>
      </c>
      <c r="AD16" s="446">
        <f t="shared" si="9"/>
        <v>0.68643075977021895</v>
      </c>
      <c r="AE16" s="446">
        <f t="shared" si="9"/>
        <v>0.67297133310805779</v>
      </c>
      <c r="AF16" s="446">
        <f t="shared" si="9"/>
        <v>0.65977581677260566</v>
      </c>
      <c r="AG16" s="446">
        <f t="shared" si="9"/>
        <v>0.64683903605157411</v>
      </c>
      <c r="AH16" s="446">
        <f t="shared" si="9"/>
        <v>0.63415591769762181</v>
      </c>
      <c r="AI16" s="446">
        <f t="shared" si="9"/>
        <v>0.62172148793884485</v>
      </c>
      <c r="AJ16" s="446">
        <f t="shared" si="9"/>
        <v>0.60953087052827937</v>
      </c>
      <c r="AK16" s="446">
        <f t="shared" si="9"/>
        <v>0.59757928483164635</v>
      </c>
      <c r="AL16" s="446">
        <f t="shared" si="9"/>
        <v>0.58586204395259456</v>
      </c>
      <c r="AM16" s="446">
        <f t="shared" si="9"/>
        <v>0.57437455289470041</v>
      </c>
      <c r="AN16" s="446">
        <f t="shared" si="9"/>
        <v>0.56311230675951029</v>
      </c>
      <c r="AO16" s="446">
        <f t="shared" si="9"/>
        <v>0.55207088897991197</v>
      </c>
      <c r="AP16" s="446">
        <f t="shared" si="9"/>
        <v>0.54124596958814919</v>
      </c>
      <c r="AQ16" s="446">
        <f t="shared" si="9"/>
        <v>0.53063330351779314</v>
      </c>
      <c r="AR16" s="446">
        <f t="shared" si="9"/>
        <v>0.52022872893901284</v>
      </c>
    </row>
    <row r="17" spans="1:44" x14ac:dyDescent="0.2">
      <c r="A17" s="380"/>
      <c r="B17" s="380" t="str">
        <f>Inputs!$C$31</f>
        <v>3.1% Discount Factor</v>
      </c>
      <c r="C17" s="11" t="s">
        <v>54</v>
      </c>
      <c r="D17" s="445">
        <f>Inputs!E31</f>
        <v>3.1E-2</v>
      </c>
      <c r="E17" s="445"/>
      <c r="F17" s="446">
        <f t="shared" ref="F17:L17" si="10">MIN(1,IF(F10=0,1,1/(1+$D17)^(F$10)))</f>
        <v>1</v>
      </c>
      <c r="G17" s="446">
        <f t="shared" si="10"/>
        <v>1</v>
      </c>
      <c r="H17" s="446">
        <f t="shared" si="10"/>
        <v>1</v>
      </c>
      <c r="I17" s="446">
        <f t="shared" si="10"/>
        <v>1</v>
      </c>
      <c r="J17" s="446">
        <f t="shared" si="10"/>
        <v>1</v>
      </c>
      <c r="K17" s="446">
        <f t="shared" si="10"/>
        <v>1</v>
      </c>
      <c r="L17" s="446">
        <f t="shared" si="10"/>
        <v>0.96993210475266745</v>
      </c>
      <c r="M17" s="446">
        <f>MIN(1,IF(M10=0,1,1/(1+$D17)^(M$10)))</f>
        <v>0.94076828782993938</v>
      </c>
      <c r="N17" s="446">
        <f t="shared" ref="N17:AR17" si="11">MIN(1,IF(N10=0,1,1/(1+$D17)^(N$10)))</f>
        <v>0.91248136549945624</v>
      </c>
      <c r="O17" s="446">
        <f t="shared" si="11"/>
        <v>0.88504497138647553</v>
      </c>
      <c r="P17" s="446">
        <f t="shared" si="11"/>
        <v>0.85843353189764848</v>
      </c>
      <c r="Q17" s="446">
        <f t="shared" si="11"/>
        <v>0.83262224238375215</v>
      </c>
      <c r="R17" s="446">
        <f t="shared" si="11"/>
        <v>0.80758704401915837</v>
      </c>
      <c r="S17" s="446">
        <f t="shared" si="11"/>
        <v>0.78330460137648728</v>
      </c>
      <c r="T17" s="446">
        <f t="shared" si="11"/>
        <v>0.75975228067554545</v>
      </c>
      <c r="U17" s="446">
        <f t="shared" si="11"/>
        <v>0.73690812868627109</v>
      </c>
      <c r="V17" s="446">
        <f t="shared" si="11"/>
        <v>0.71475085226602442</v>
      </c>
      <c r="W17" s="446">
        <f t="shared" si="11"/>
        <v>0.69325979851214781</v>
      </c>
      <c r="X17" s="446">
        <f t="shared" si="11"/>
        <v>0.67241493551129761</v>
      </c>
      <c r="Y17" s="446">
        <f t="shared" si="11"/>
        <v>0.65219683366760206</v>
      </c>
      <c r="Z17" s="446">
        <f t="shared" si="11"/>
        <v>0.63258664759224259</v>
      </c>
      <c r="AA17" s="446">
        <f t="shared" si="11"/>
        <v>0.6135660985375776</v>
      </c>
      <c r="AB17" s="446">
        <f t="shared" si="11"/>
        <v>0.59511745735943511</v>
      </c>
      <c r="AC17" s="446">
        <f t="shared" si="11"/>
        <v>0.57722352799169274</v>
      </c>
      <c r="AD17" s="446">
        <f t="shared" si="11"/>
        <v>0.55986763141774276</v>
      </c>
      <c r="AE17" s="446">
        <f t="shared" si="11"/>
        <v>0.54303359012390184</v>
      </c>
      <c r="AF17" s="446">
        <f t="shared" si="11"/>
        <v>0.52670571302027336</v>
      </c>
      <c r="AG17" s="446">
        <f t="shared" si="11"/>
        <v>0.51086878081500819</v>
      </c>
      <c r="AH17" s="446">
        <f t="shared" si="11"/>
        <v>0.49550803182832992</v>
      </c>
      <c r="AI17" s="446">
        <f t="shared" si="11"/>
        <v>0.4806091482331038</v>
      </c>
      <c r="AJ17" s="446">
        <f t="shared" si="11"/>
        <v>0.46615824270912104</v>
      </c>
      <c r="AK17" s="446">
        <f t="shared" si="11"/>
        <v>0.4521418454986626</v>
      </c>
      <c r="AL17" s="446">
        <f t="shared" si="11"/>
        <v>0.4385468918512731</v>
      </c>
      <c r="AM17" s="446">
        <f t="shared" si="11"/>
        <v>0.42536070984604568</v>
      </c>
      <c r="AN17" s="446">
        <f t="shared" si="11"/>
        <v>0.41257100858006374</v>
      </c>
      <c r="AO17" s="446">
        <f t="shared" si="11"/>
        <v>0.400165866711992</v>
      </c>
      <c r="AP17" s="446">
        <f t="shared" si="11"/>
        <v>0.38813372135013779</v>
      </c>
      <c r="AQ17" s="446">
        <f t="shared" si="11"/>
        <v>0.37646335727462438</v>
      </c>
      <c r="AR17" s="446">
        <f t="shared" si="11"/>
        <v>0.36514389648363188</v>
      </c>
    </row>
    <row r="19" spans="1:44" x14ac:dyDescent="0.2">
      <c r="A19" s="380"/>
      <c r="B19" s="380" t="s">
        <v>243</v>
      </c>
      <c r="C19" s="380" t="s">
        <v>48</v>
      </c>
      <c r="D19" s="380" t="s">
        <v>49</v>
      </c>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L19" s="380"/>
      <c r="AM19" s="380"/>
      <c r="AN19" s="380"/>
      <c r="AO19" s="380"/>
      <c r="AP19" s="380"/>
      <c r="AQ19" s="380"/>
      <c r="AR19" s="380"/>
    </row>
    <row r="20" spans="1:44" s="4" customFormat="1" x14ac:dyDescent="0.2">
      <c r="A20" s="449" t="s">
        <v>244</v>
      </c>
      <c r="B20" s="450"/>
      <c r="C20" s="450"/>
      <c r="D20" s="450"/>
      <c r="E20" s="450"/>
      <c r="F20" s="450"/>
      <c r="G20" s="450"/>
      <c r="H20" s="450"/>
      <c r="I20" s="450"/>
      <c r="J20" s="450"/>
      <c r="K20" s="450"/>
      <c r="L20" s="450"/>
      <c r="M20" s="450"/>
      <c r="N20" s="450"/>
      <c r="O20" s="450"/>
      <c r="P20" s="450"/>
      <c r="Q20" s="450"/>
      <c r="R20" s="450"/>
      <c r="S20" s="450"/>
      <c r="T20" s="450"/>
      <c r="U20" s="450"/>
      <c r="V20" s="450"/>
      <c r="W20" s="450"/>
      <c r="X20" s="450"/>
      <c r="Y20" s="450"/>
      <c r="Z20" s="450"/>
      <c r="AA20" s="450"/>
      <c r="AB20" s="450"/>
      <c r="AC20" s="450"/>
      <c r="AD20" s="450"/>
      <c r="AE20" s="450"/>
      <c r="AF20" s="450"/>
      <c r="AG20" s="450"/>
      <c r="AH20" s="450"/>
      <c r="AI20" s="450"/>
      <c r="AJ20" s="450"/>
      <c r="AK20" s="450"/>
      <c r="AL20" s="450"/>
      <c r="AM20" s="450"/>
      <c r="AN20" s="450"/>
      <c r="AO20" s="450"/>
      <c r="AP20" s="450"/>
      <c r="AQ20" s="450"/>
      <c r="AR20" s="450"/>
    </row>
    <row r="21" spans="1:44" ht="15" x14ac:dyDescent="0.25">
      <c r="A21" s="2" t="s">
        <v>252</v>
      </c>
      <c r="B21" s="380"/>
      <c r="C21" s="380"/>
      <c r="D21" s="380"/>
      <c r="E21" s="380"/>
      <c r="F21" s="380"/>
      <c r="G21" s="380"/>
      <c r="H21" s="380"/>
      <c r="I21" s="380"/>
      <c r="J21" s="380"/>
      <c r="K21" s="380"/>
      <c r="L21" s="380"/>
      <c r="M21" s="380"/>
      <c r="N21" s="380"/>
      <c r="O21" s="380"/>
      <c r="P21" s="380"/>
      <c r="Q21" s="380"/>
      <c r="R21" s="380"/>
      <c r="S21" s="380"/>
      <c r="T21" s="380"/>
      <c r="U21" s="380"/>
      <c r="V21" s="380"/>
      <c r="W21" s="380"/>
      <c r="X21" s="380"/>
      <c r="Y21" s="380"/>
      <c r="Z21" s="380"/>
      <c r="AA21" s="380"/>
      <c r="AB21" s="380"/>
      <c r="AC21" s="380"/>
      <c r="AD21" s="380"/>
      <c r="AE21" s="380"/>
      <c r="AF21" s="380"/>
      <c r="AG21" s="380"/>
      <c r="AH21" s="380"/>
      <c r="AI21" s="380"/>
      <c r="AJ21" s="380"/>
      <c r="AK21" s="380"/>
      <c r="AL21" s="380"/>
      <c r="AM21" s="380"/>
      <c r="AN21" s="380"/>
      <c r="AO21" s="380"/>
      <c r="AP21" s="380"/>
      <c r="AQ21" s="380"/>
      <c r="AR21" s="380"/>
    </row>
    <row r="22" spans="1:44" x14ac:dyDescent="0.2">
      <c r="A22" s="380"/>
      <c r="B22" s="418" t="s">
        <v>20</v>
      </c>
      <c r="C22" s="59" t="s">
        <v>86</v>
      </c>
      <c r="D22" s="447">
        <f>SUM(F22:AR22)</f>
        <v>0</v>
      </c>
      <c r="E22" s="418"/>
      <c r="F22" s="448">
        <f>IF(F7=Inputs!$E$26,Inputs!$E$40,0)</f>
        <v>0</v>
      </c>
      <c r="G22" s="448">
        <f>IF(G7=Inputs!$E$26,Inputs!$E$40,0)</f>
        <v>0</v>
      </c>
      <c r="H22" s="448">
        <f>IF(H7=Inputs!$E$26,Inputs!$E$40,0)</f>
        <v>0</v>
      </c>
      <c r="I22" s="448">
        <f>IF(I7=Inputs!$E$26,Inputs!$E$40,0)</f>
        <v>0</v>
      </c>
      <c r="J22" s="448">
        <f>IF(J7=Inputs!$E$26,Inputs!$E$40,0)</f>
        <v>0</v>
      </c>
      <c r="K22" s="448">
        <f>IF(K7=Inputs!$E$26,Inputs!$E$40,0)</f>
        <v>0</v>
      </c>
      <c r="L22" s="448">
        <f>IF(L7=Inputs!$E$26,Inputs!$E$40,0)</f>
        <v>0</v>
      </c>
      <c r="M22" s="448">
        <f>IF(M7=Inputs!$E$26,Inputs!$E$40,0)</f>
        <v>0</v>
      </c>
      <c r="N22" s="448">
        <f>IF(N7=Inputs!$E$26,Inputs!$E$40,0)</f>
        <v>0</v>
      </c>
      <c r="O22" s="448">
        <f>IF(O7=Inputs!$E$26,Inputs!$E$40,0)</f>
        <v>0</v>
      </c>
      <c r="P22" s="448">
        <f>IF(P7=Inputs!$E$26,Inputs!$E$40,0)</f>
        <v>0</v>
      </c>
      <c r="Q22" s="448">
        <f>IF(Q7=Inputs!$E$26,Inputs!$E$40,0)</f>
        <v>0</v>
      </c>
      <c r="R22" s="448">
        <f>IF(R7=Inputs!$E$26,Inputs!$E$40,0)</f>
        <v>0</v>
      </c>
      <c r="S22" s="448">
        <f>IF(S7=Inputs!$E$26,Inputs!$E$40,0)</f>
        <v>0</v>
      </c>
      <c r="T22" s="448">
        <f>IF(T7=Inputs!$E$26,Inputs!$E$40,0)</f>
        <v>0</v>
      </c>
      <c r="U22" s="448">
        <f>IF(U7=Inputs!$E$26,Inputs!$E$40,0)</f>
        <v>0</v>
      </c>
      <c r="V22" s="448">
        <f>IF(V7=Inputs!$E$26,Inputs!$E$40,0)</f>
        <v>0</v>
      </c>
      <c r="W22" s="448">
        <f>IF(W7=Inputs!$E$26,Inputs!$E$40,0)</f>
        <v>0</v>
      </c>
      <c r="X22" s="448">
        <f>IF(X7=Inputs!$E$26,Inputs!$E$40,0)</f>
        <v>0</v>
      </c>
      <c r="Y22" s="448">
        <f>IF(Y7=Inputs!$E$26,Inputs!$E$40,0)</f>
        <v>0</v>
      </c>
      <c r="Z22" s="448">
        <f>IF(Z7=Inputs!$E$26,Inputs!$E$40,0)</f>
        <v>0</v>
      </c>
      <c r="AA22" s="448">
        <f>IF(AA7=Inputs!$E$26,Inputs!$E$40,0)</f>
        <v>0</v>
      </c>
      <c r="AB22" s="448">
        <f>IF(AB7=Inputs!$E$26,Inputs!$E$40,0)</f>
        <v>0</v>
      </c>
      <c r="AC22" s="448">
        <f>IF(AC7=Inputs!$E$26,Inputs!$E$40,0)</f>
        <v>0</v>
      </c>
      <c r="AD22" s="448">
        <f>IF(AD7=Inputs!$E$26,Inputs!$E$40,0)</f>
        <v>0</v>
      </c>
      <c r="AE22" s="448">
        <f>IF(AE7=Inputs!$E$26,Inputs!$E$40,0)</f>
        <v>0</v>
      </c>
      <c r="AF22" s="448">
        <f>IF(AF7=Inputs!$E$26,Inputs!$E$40,0)</f>
        <v>0</v>
      </c>
      <c r="AG22" s="448">
        <f>IF(AG7=Inputs!$E$26,Inputs!$E$40,0)</f>
        <v>0</v>
      </c>
      <c r="AH22" s="448">
        <f>IF(AH7=Inputs!$E$26,Inputs!$E$40,0)</f>
        <v>0</v>
      </c>
      <c r="AI22" s="448">
        <f>IF(AI7=Inputs!$E$26,Inputs!$E$40,0)</f>
        <v>0</v>
      </c>
      <c r="AJ22" s="448">
        <f>IF(AJ7=Inputs!$E$26,Inputs!$E$40,0)</f>
        <v>0</v>
      </c>
      <c r="AK22" s="448">
        <f>IF(AK7=Inputs!$E$26,Inputs!$E$40,0)</f>
        <v>0</v>
      </c>
      <c r="AL22" s="448">
        <f>IF(AL7=Inputs!$E$26,Inputs!$E$40,0)</f>
        <v>0</v>
      </c>
      <c r="AM22" s="448">
        <f>IF(AM7=Inputs!$E$26,Inputs!$E$40,0)</f>
        <v>0</v>
      </c>
      <c r="AN22" s="448">
        <f>IF(AN7=Inputs!$E$26,Inputs!$E$40,0)</f>
        <v>0</v>
      </c>
      <c r="AO22" s="448">
        <f>IF(AO7=Inputs!$E$26,Inputs!$E$40,0)</f>
        <v>0</v>
      </c>
      <c r="AP22" s="448">
        <f>IF(AP7=Inputs!$E$26,Inputs!$E$40,0)</f>
        <v>0</v>
      </c>
      <c r="AQ22" s="448">
        <f>IF(AQ7=Inputs!$E$26,Inputs!$E$40,0)</f>
        <v>0</v>
      </c>
      <c r="AR22" s="448">
        <f>IF(AR7=Inputs!$E$26,Inputs!$E$40,0)</f>
        <v>0</v>
      </c>
    </row>
    <row r="23" spans="1:44" x14ac:dyDescent="0.2">
      <c r="A23" s="380"/>
      <c r="B23" s="380" t="s">
        <v>250</v>
      </c>
      <c r="C23" s="52" t="s">
        <v>86</v>
      </c>
      <c r="D23" s="440">
        <f>SUM(F23:AR23)</f>
        <v>0</v>
      </c>
      <c r="E23" s="380"/>
      <c r="F23" s="417">
        <f t="shared" ref="F23:AR23" si="12">SUM(F22:F22)</f>
        <v>0</v>
      </c>
      <c r="G23" s="417">
        <f t="shared" si="12"/>
        <v>0</v>
      </c>
      <c r="H23" s="417">
        <f t="shared" si="12"/>
        <v>0</v>
      </c>
      <c r="I23" s="417">
        <f t="shared" si="12"/>
        <v>0</v>
      </c>
      <c r="J23" s="417">
        <f t="shared" si="12"/>
        <v>0</v>
      </c>
      <c r="K23" s="417">
        <f t="shared" si="12"/>
        <v>0</v>
      </c>
      <c r="L23" s="417">
        <f t="shared" si="12"/>
        <v>0</v>
      </c>
      <c r="M23" s="417">
        <f t="shared" si="12"/>
        <v>0</v>
      </c>
      <c r="N23" s="417">
        <f t="shared" si="12"/>
        <v>0</v>
      </c>
      <c r="O23" s="417">
        <f t="shared" si="12"/>
        <v>0</v>
      </c>
      <c r="P23" s="417">
        <f t="shared" si="12"/>
        <v>0</v>
      </c>
      <c r="Q23" s="417">
        <f t="shared" si="12"/>
        <v>0</v>
      </c>
      <c r="R23" s="417">
        <f t="shared" si="12"/>
        <v>0</v>
      </c>
      <c r="S23" s="417">
        <f t="shared" si="12"/>
        <v>0</v>
      </c>
      <c r="T23" s="417">
        <f t="shared" si="12"/>
        <v>0</v>
      </c>
      <c r="U23" s="417">
        <f t="shared" si="12"/>
        <v>0</v>
      </c>
      <c r="V23" s="417">
        <f t="shared" si="12"/>
        <v>0</v>
      </c>
      <c r="W23" s="417">
        <f t="shared" si="12"/>
        <v>0</v>
      </c>
      <c r="X23" s="417">
        <f t="shared" si="12"/>
        <v>0</v>
      </c>
      <c r="Y23" s="417">
        <f t="shared" si="12"/>
        <v>0</v>
      </c>
      <c r="Z23" s="417">
        <f t="shared" si="12"/>
        <v>0</v>
      </c>
      <c r="AA23" s="417">
        <f t="shared" si="12"/>
        <v>0</v>
      </c>
      <c r="AB23" s="417">
        <f t="shared" si="12"/>
        <v>0</v>
      </c>
      <c r="AC23" s="417">
        <f t="shared" si="12"/>
        <v>0</v>
      </c>
      <c r="AD23" s="417">
        <f t="shared" si="12"/>
        <v>0</v>
      </c>
      <c r="AE23" s="417">
        <f t="shared" si="12"/>
        <v>0</v>
      </c>
      <c r="AF23" s="417">
        <f t="shared" si="12"/>
        <v>0</v>
      </c>
      <c r="AG23" s="417">
        <f t="shared" si="12"/>
        <v>0</v>
      </c>
      <c r="AH23" s="417">
        <f t="shared" si="12"/>
        <v>0</v>
      </c>
      <c r="AI23" s="417">
        <f t="shared" si="12"/>
        <v>0</v>
      </c>
      <c r="AJ23" s="417">
        <f t="shared" si="12"/>
        <v>0</v>
      </c>
      <c r="AK23" s="417">
        <f t="shared" si="12"/>
        <v>0</v>
      </c>
      <c r="AL23" s="417">
        <f t="shared" si="12"/>
        <v>0</v>
      </c>
      <c r="AM23" s="417">
        <f t="shared" si="12"/>
        <v>0</v>
      </c>
      <c r="AN23" s="417">
        <f t="shared" si="12"/>
        <v>0</v>
      </c>
      <c r="AO23" s="417">
        <f t="shared" si="12"/>
        <v>0</v>
      </c>
      <c r="AP23" s="417">
        <f t="shared" si="12"/>
        <v>0</v>
      </c>
      <c r="AQ23" s="417">
        <f t="shared" si="12"/>
        <v>0</v>
      </c>
      <c r="AR23" s="417">
        <f t="shared" si="12"/>
        <v>0</v>
      </c>
    </row>
    <row r="24" spans="1:44" x14ac:dyDescent="0.2">
      <c r="A24" s="380"/>
      <c r="B24" s="380"/>
      <c r="C24" s="7"/>
      <c r="D24" s="380"/>
      <c r="E24" s="380"/>
      <c r="F24" s="380"/>
      <c r="G24" s="380"/>
      <c r="H24" s="380"/>
      <c r="I24" s="380"/>
      <c r="J24" s="380"/>
      <c r="K24" s="380"/>
      <c r="L24" s="380"/>
      <c r="M24" s="380"/>
      <c r="N24" s="380"/>
      <c r="O24" s="380"/>
      <c r="P24" s="380"/>
      <c r="Q24" s="380"/>
      <c r="R24" s="380"/>
      <c r="S24" s="380"/>
      <c r="T24" s="380"/>
      <c r="U24" s="380"/>
      <c r="V24" s="380"/>
      <c r="W24" s="380"/>
      <c r="X24" s="380"/>
      <c r="Y24" s="380"/>
      <c r="Z24" s="380"/>
      <c r="AA24" s="380"/>
      <c r="AB24" s="380"/>
      <c r="AC24" s="380"/>
      <c r="AD24" s="380"/>
      <c r="AE24" s="380"/>
      <c r="AF24" s="380"/>
      <c r="AG24" s="380"/>
      <c r="AH24" s="380"/>
      <c r="AI24" s="380"/>
      <c r="AJ24" s="380"/>
      <c r="AK24" s="380"/>
      <c r="AL24" s="380"/>
      <c r="AM24" s="380"/>
      <c r="AN24" s="380"/>
      <c r="AO24" s="380"/>
      <c r="AP24" s="380"/>
      <c r="AQ24" s="380"/>
      <c r="AR24" s="380"/>
    </row>
    <row r="25" spans="1:44" ht="15" x14ac:dyDescent="0.25">
      <c r="A25" s="2" t="s">
        <v>251</v>
      </c>
      <c r="B25" s="380"/>
      <c r="C25" s="7"/>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0"/>
      <c r="AP25" s="380"/>
      <c r="AQ25" s="380"/>
      <c r="AR25" s="380"/>
    </row>
    <row r="26" spans="1:44" x14ac:dyDescent="0.2">
      <c r="A26" s="380"/>
      <c r="B26" s="380" t="s">
        <v>252</v>
      </c>
      <c r="C26" s="52" t="s">
        <v>86</v>
      </c>
      <c r="D26" s="440">
        <f>SUM(F26:AR26)</f>
        <v>0</v>
      </c>
      <c r="E26" s="417"/>
      <c r="F26" s="417">
        <f>F23*F$15</f>
        <v>0</v>
      </c>
      <c r="G26" s="417">
        <f t="shared" ref="G26:AR26" si="13">G23*G$15</f>
        <v>0</v>
      </c>
      <c r="H26" s="417">
        <f t="shared" si="13"/>
        <v>0</v>
      </c>
      <c r="I26" s="417">
        <f t="shared" si="13"/>
        <v>0</v>
      </c>
      <c r="J26" s="417">
        <f t="shared" si="13"/>
        <v>0</v>
      </c>
      <c r="K26" s="417">
        <f t="shared" si="13"/>
        <v>0</v>
      </c>
      <c r="L26" s="417">
        <f t="shared" si="13"/>
        <v>0</v>
      </c>
      <c r="M26" s="417">
        <f t="shared" si="13"/>
        <v>0</v>
      </c>
      <c r="N26" s="417">
        <f t="shared" si="13"/>
        <v>0</v>
      </c>
      <c r="O26" s="417">
        <f t="shared" si="13"/>
        <v>0</v>
      </c>
      <c r="P26" s="417">
        <f t="shared" si="13"/>
        <v>0</v>
      </c>
      <c r="Q26" s="417">
        <f t="shared" si="13"/>
        <v>0</v>
      </c>
      <c r="R26" s="417">
        <f t="shared" si="13"/>
        <v>0</v>
      </c>
      <c r="S26" s="417">
        <f t="shared" si="13"/>
        <v>0</v>
      </c>
      <c r="T26" s="417">
        <f t="shared" si="13"/>
        <v>0</v>
      </c>
      <c r="U26" s="417">
        <f t="shared" si="13"/>
        <v>0</v>
      </c>
      <c r="V26" s="417">
        <f t="shared" si="13"/>
        <v>0</v>
      </c>
      <c r="W26" s="417">
        <f t="shared" si="13"/>
        <v>0</v>
      </c>
      <c r="X26" s="417">
        <f t="shared" si="13"/>
        <v>0</v>
      </c>
      <c r="Y26" s="417">
        <f t="shared" si="13"/>
        <v>0</v>
      </c>
      <c r="Z26" s="417">
        <f t="shared" si="13"/>
        <v>0</v>
      </c>
      <c r="AA26" s="417">
        <f t="shared" si="13"/>
        <v>0</v>
      </c>
      <c r="AB26" s="417">
        <f t="shared" si="13"/>
        <v>0</v>
      </c>
      <c r="AC26" s="417">
        <f t="shared" si="13"/>
        <v>0</v>
      </c>
      <c r="AD26" s="417">
        <f t="shared" si="13"/>
        <v>0</v>
      </c>
      <c r="AE26" s="417">
        <f t="shared" si="13"/>
        <v>0</v>
      </c>
      <c r="AF26" s="417">
        <f t="shared" si="13"/>
        <v>0</v>
      </c>
      <c r="AG26" s="417">
        <f t="shared" si="13"/>
        <v>0</v>
      </c>
      <c r="AH26" s="417">
        <f t="shared" si="13"/>
        <v>0</v>
      </c>
      <c r="AI26" s="417">
        <f t="shared" si="13"/>
        <v>0</v>
      </c>
      <c r="AJ26" s="417">
        <f t="shared" si="13"/>
        <v>0</v>
      </c>
      <c r="AK26" s="417">
        <f t="shared" si="13"/>
        <v>0</v>
      </c>
      <c r="AL26" s="417">
        <f t="shared" si="13"/>
        <v>0</v>
      </c>
      <c r="AM26" s="417">
        <f t="shared" si="13"/>
        <v>0</v>
      </c>
      <c r="AN26" s="417">
        <f t="shared" si="13"/>
        <v>0</v>
      </c>
      <c r="AO26" s="417">
        <f t="shared" si="13"/>
        <v>0</v>
      </c>
      <c r="AP26" s="417">
        <f t="shared" si="13"/>
        <v>0</v>
      </c>
      <c r="AQ26" s="417">
        <f t="shared" si="13"/>
        <v>0</v>
      </c>
      <c r="AR26" s="417">
        <f t="shared" si="13"/>
        <v>0</v>
      </c>
    </row>
    <row r="27" spans="1:44" x14ac:dyDescent="0.2">
      <c r="A27" s="380"/>
      <c r="B27" s="380" t="str">
        <f>Inputs!$C$30</f>
        <v>2% Discount Factor</v>
      </c>
      <c r="C27" s="52" t="s">
        <v>86</v>
      </c>
      <c r="D27" s="440">
        <f>SUM(F27:AR27)</f>
        <v>0</v>
      </c>
      <c r="E27" s="417"/>
      <c r="F27" s="417">
        <f>F23*F$16</f>
        <v>0</v>
      </c>
      <c r="G27" s="417">
        <f t="shared" ref="G27:AR27" si="14">G23*G$16</f>
        <v>0</v>
      </c>
      <c r="H27" s="417">
        <f t="shared" si="14"/>
        <v>0</v>
      </c>
      <c r="I27" s="417">
        <f t="shared" si="14"/>
        <v>0</v>
      </c>
      <c r="J27" s="417">
        <f t="shared" si="14"/>
        <v>0</v>
      </c>
      <c r="K27" s="417">
        <f t="shared" si="14"/>
        <v>0</v>
      </c>
      <c r="L27" s="417">
        <f t="shared" si="14"/>
        <v>0</v>
      </c>
      <c r="M27" s="417">
        <f t="shared" si="14"/>
        <v>0</v>
      </c>
      <c r="N27" s="417">
        <f t="shared" si="14"/>
        <v>0</v>
      </c>
      <c r="O27" s="417">
        <f t="shared" si="14"/>
        <v>0</v>
      </c>
      <c r="P27" s="417">
        <f t="shared" si="14"/>
        <v>0</v>
      </c>
      <c r="Q27" s="417">
        <f t="shared" si="14"/>
        <v>0</v>
      </c>
      <c r="R27" s="417">
        <f t="shared" si="14"/>
        <v>0</v>
      </c>
      <c r="S27" s="417">
        <f t="shared" si="14"/>
        <v>0</v>
      </c>
      <c r="T27" s="417">
        <f t="shared" si="14"/>
        <v>0</v>
      </c>
      <c r="U27" s="417">
        <f t="shared" si="14"/>
        <v>0</v>
      </c>
      <c r="V27" s="417">
        <f t="shared" si="14"/>
        <v>0</v>
      </c>
      <c r="W27" s="417">
        <f t="shared" si="14"/>
        <v>0</v>
      </c>
      <c r="X27" s="417">
        <f t="shared" si="14"/>
        <v>0</v>
      </c>
      <c r="Y27" s="417">
        <f t="shared" si="14"/>
        <v>0</v>
      </c>
      <c r="Z27" s="417">
        <f t="shared" si="14"/>
        <v>0</v>
      </c>
      <c r="AA27" s="417">
        <f t="shared" si="14"/>
        <v>0</v>
      </c>
      <c r="AB27" s="417">
        <f t="shared" si="14"/>
        <v>0</v>
      </c>
      <c r="AC27" s="417">
        <f t="shared" si="14"/>
        <v>0</v>
      </c>
      <c r="AD27" s="417">
        <f t="shared" si="14"/>
        <v>0</v>
      </c>
      <c r="AE27" s="417">
        <f t="shared" si="14"/>
        <v>0</v>
      </c>
      <c r="AF27" s="417">
        <f t="shared" si="14"/>
        <v>0</v>
      </c>
      <c r="AG27" s="417">
        <f t="shared" si="14"/>
        <v>0</v>
      </c>
      <c r="AH27" s="417">
        <f t="shared" si="14"/>
        <v>0</v>
      </c>
      <c r="AI27" s="417">
        <f t="shared" si="14"/>
        <v>0</v>
      </c>
      <c r="AJ27" s="417">
        <f t="shared" si="14"/>
        <v>0</v>
      </c>
      <c r="AK27" s="417">
        <f t="shared" si="14"/>
        <v>0</v>
      </c>
      <c r="AL27" s="417">
        <f t="shared" si="14"/>
        <v>0</v>
      </c>
      <c r="AM27" s="417">
        <f t="shared" si="14"/>
        <v>0</v>
      </c>
      <c r="AN27" s="417">
        <f t="shared" si="14"/>
        <v>0</v>
      </c>
      <c r="AO27" s="417">
        <f t="shared" si="14"/>
        <v>0</v>
      </c>
      <c r="AP27" s="417">
        <f t="shared" si="14"/>
        <v>0</v>
      </c>
      <c r="AQ27" s="417">
        <f t="shared" si="14"/>
        <v>0</v>
      </c>
      <c r="AR27" s="417">
        <f t="shared" si="14"/>
        <v>0</v>
      </c>
    </row>
    <row r="28" spans="1:44" x14ac:dyDescent="0.2">
      <c r="A28" s="380"/>
      <c r="B28" s="380" t="str">
        <f>Inputs!$C$31</f>
        <v>3.1% Discount Factor</v>
      </c>
      <c r="C28" s="52" t="s">
        <v>86</v>
      </c>
      <c r="D28" s="440">
        <f>SUM(F28:AR28)</f>
        <v>0</v>
      </c>
      <c r="E28" s="417"/>
      <c r="F28" s="417">
        <f>F23*F$17</f>
        <v>0</v>
      </c>
      <c r="G28" s="417">
        <f t="shared" ref="G28:AR28" si="15">G23*G$17</f>
        <v>0</v>
      </c>
      <c r="H28" s="417">
        <f t="shared" si="15"/>
        <v>0</v>
      </c>
      <c r="I28" s="417">
        <f t="shared" si="15"/>
        <v>0</v>
      </c>
      <c r="J28" s="417">
        <f t="shared" si="15"/>
        <v>0</v>
      </c>
      <c r="K28" s="417">
        <f t="shared" si="15"/>
        <v>0</v>
      </c>
      <c r="L28" s="417">
        <f t="shared" si="15"/>
        <v>0</v>
      </c>
      <c r="M28" s="417">
        <f t="shared" si="15"/>
        <v>0</v>
      </c>
      <c r="N28" s="417">
        <f t="shared" si="15"/>
        <v>0</v>
      </c>
      <c r="O28" s="417">
        <f t="shared" si="15"/>
        <v>0</v>
      </c>
      <c r="P28" s="417">
        <f t="shared" si="15"/>
        <v>0</v>
      </c>
      <c r="Q28" s="417">
        <f t="shared" si="15"/>
        <v>0</v>
      </c>
      <c r="R28" s="417">
        <f t="shared" si="15"/>
        <v>0</v>
      </c>
      <c r="S28" s="417">
        <f t="shared" si="15"/>
        <v>0</v>
      </c>
      <c r="T28" s="417">
        <f t="shared" si="15"/>
        <v>0</v>
      </c>
      <c r="U28" s="417">
        <f t="shared" si="15"/>
        <v>0</v>
      </c>
      <c r="V28" s="417">
        <f t="shared" si="15"/>
        <v>0</v>
      </c>
      <c r="W28" s="417">
        <f t="shared" si="15"/>
        <v>0</v>
      </c>
      <c r="X28" s="417">
        <f t="shared" si="15"/>
        <v>0</v>
      </c>
      <c r="Y28" s="417">
        <f t="shared" si="15"/>
        <v>0</v>
      </c>
      <c r="Z28" s="417">
        <f t="shared" si="15"/>
        <v>0</v>
      </c>
      <c r="AA28" s="417">
        <f t="shared" si="15"/>
        <v>0</v>
      </c>
      <c r="AB28" s="417">
        <f t="shared" si="15"/>
        <v>0</v>
      </c>
      <c r="AC28" s="417">
        <f t="shared" si="15"/>
        <v>0</v>
      </c>
      <c r="AD28" s="417">
        <f t="shared" si="15"/>
        <v>0</v>
      </c>
      <c r="AE28" s="417">
        <f t="shared" si="15"/>
        <v>0</v>
      </c>
      <c r="AF28" s="417">
        <f t="shared" si="15"/>
        <v>0</v>
      </c>
      <c r="AG28" s="417">
        <f t="shared" si="15"/>
        <v>0</v>
      </c>
      <c r="AH28" s="417">
        <f t="shared" si="15"/>
        <v>0</v>
      </c>
      <c r="AI28" s="417">
        <f t="shared" si="15"/>
        <v>0</v>
      </c>
      <c r="AJ28" s="417">
        <f t="shared" si="15"/>
        <v>0</v>
      </c>
      <c r="AK28" s="417">
        <f t="shared" si="15"/>
        <v>0</v>
      </c>
      <c r="AL28" s="417">
        <f t="shared" si="15"/>
        <v>0</v>
      </c>
      <c r="AM28" s="417">
        <f t="shared" si="15"/>
        <v>0</v>
      </c>
      <c r="AN28" s="417">
        <f t="shared" si="15"/>
        <v>0</v>
      </c>
      <c r="AO28" s="417">
        <f t="shared" si="15"/>
        <v>0</v>
      </c>
      <c r="AP28" s="417">
        <f t="shared" si="15"/>
        <v>0</v>
      </c>
      <c r="AQ28" s="417">
        <f t="shared" si="15"/>
        <v>0</v>
      </c>
      <c r="AR28" s="417">
        <f t="shared" si="15"/>
        <v>0</v>
      </c>
    </row>
    <row r="29" spans="1:44" x14ac:dyDescent="0.2">
      <c r="A29" s="380"/>
      <c r="B29" s="380"/>
      <c r="C29" s="7"/>
      <c r="D29" s="380"/>
      <c r="E29" s="380"/>
      <c r="F29" s="380"/>
      <c r="G29" s="380"/>
      <c r="H29" s="380"/>
      <c r="I29" s="380"/>
      <c r="J29" s="380"/>
      <c r="K29" s="380"/>
      <c r="L29" s="380"/>
      <c r="M29" s="380"/>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0"/>
      <c r="AO29" s="380"/>
      <c r="AP29" s="380"/>
      <c r="AQ29" s="380"/>
      <c r="AR29" s="380"/>
    </row>
    <row r="30" spans="1:44" s="4" customFormat="1" x14ac:dyDescent="0.2">
      <c r="A30" s="449" t="s">
        <v>255</v>
      </c>
      <c r="B30" s="8"/>
      <c r="C30" s="8"/>
      <c r="D30" s="450"/>
      <c r="E30" s="450"/>
      <c r="F30" s="450"/>
      <c r="G30" s="450"/>
      <c r="H30" s="450"/>
      <c r="I30" s="450"/>
      <c r="J30" s="450"/>
      <c r="K30" s="450"/>
      <c r="L30" s="450"/>
      <c r="M30" s="450"/>
      <c r="N30" s="450"/>
      <c r="O30" s="450"/>
      <c r="P30" s="450"/>
      <c r="Q30" s="450"/>
      <c r="R30" s="450"/>
      <c r="S30" s="450"/>
      <c r="T30" s="450"/>
      <c r="U30" s="450"/>
      <c r="V30" s="450"/>
      <c r="W30" s="450"/>
      <c r="X30" s="450"/>
      <c r="Y30" s="450"/>
      <c r="Z30" s="450"/>
      <c r="AA30" s="450"/>
      <c r="AB30" s="450"/>
      <c r="AC30" s="450"/>
      <c r="AD30" s="450"/>
      <c r="AE30" s="450"/>
      <c r="AF30" s="450"/>
      <c r="AG30" s="450"/>
      <c r="AH30" s="450"/>
      <c r="AI30" s="450"/>
      <c r="AJ30" s="450"/>
      <c r="AK30" s="450"/>
      <c r="AL30" s="450"/>
      <c r="AM30" s="450"/>
      <c r="AN30" s="450"/>
      <c r="AO30" s="450"/>
      <c r="AP30" s="450"/>
      <c r="AQ30" s="450"/>
      <c r="AR30" s="450"/>
    </row>
    <row r="31" spans="1:44" ht="15" x14ac:dyDescent="0.25">
      <c r="A31" s="2" t="s">
        <v>252</v>
      </c>
      <c r="B31" s="380"/>
      <c r="C31" s="380"/>
      <c r="D31" s="380"/>
      <c r="E31" s="380"/>
      <c r="F31" s="380"/>
      <c r="G31" s="380"/>
      <c r="H31" s="380"/>
      <c r="I31" s="380"/>
      <c r="J31" s="380"/>
      <c r="K31" s="380"/>
      <c r="L31" s="380"/>
      <c r="M31" s="380"/>
      <c r="N31" s="380"/>
      <c r="O31" s="380"/>
      <c r="P31" s="380"/>
      <c r="Q31" s="380"/>
      <c r="R31" s="380"/>
      <c r="S31" s="380"/>
      <c r="T31" s="380"/>
      <c r="U31" s="380"/>
      <c r="V31" s="380"/>
      <c r="W31" s="380"/>
      <c r="X31" s="380"/>
      <c r="Y31" s="380"/>
      <c r="Z31" s="380"/>
      <c r="AA31" s="380"/>
      <c r="AB31" s="380"/>
      <c r="AC31" s="380"/>
      <c r="AD31" s="380"/>
      <c r="AE31" s="380"/>
      <c r="AF31" s="380"/>
      <c r="AG31" s="380"/>
      <c r="AH31" s="380"/>
      <c r="AI31" s="380"/>
      <c r="AJ31" s="380"/>
      <c r="AK31" s="380"/>
      <c r="AL31" s="380"/>
      <c r="AM31" s="380"/>
      <c r="AN31" s="380"/>
      <c r="AO31" s="380"/>
      <c r="AP31" s="380"/>
      <c r="AQ31" s="380"/>
      <c r="AR31" s="380"/>
    </row>
    <row r="32" spans="1:44" x14ac:dyDescent="0.2">
      <c r="A32" s="380"/>
      <c r="B32" s="380" t="s">
        <v>375</v>
      </c>
      <c r="C32" s="52" t="s">
        <v>86</v>
      </c>
      <c r="D32" s="440">
        <f>Inputs!E38</f>
        <v>7022864.7404078525</v>
      </c>
      <c r="E32" s="380"/>
      <c r="F32" s="417"/>
      <c r="G32" s="417"/>
      <c r="H32" s="417"/>
      <c r="I32" s="417"/>
      <c r="J32" s="417"/>
      <c r="K32" s="417"/>
      <c r="L32" s="417"/>
      <c r="M32" s="417"/>
      <c r="N32" s="417"/>
      <c r="O32" s="417"/>
      <c r="P32" s="417"/>
      <c r="Q32" s="417"/>
      <c r="R32" s="417"/>
      <c r="S32" s="417"/>
      <c r="T32" s="417"/>
      <c r="U32" s="417"/>
      <c r="V32" s="417"/>
      <c r="W32" s="417"/>
      <c r="X32" s="417"/>
      <c r="Y32" s="417"/>
      <c r="Z32" s="417"/>
      <c r="AA32" s="417"/>
      <c r="AB32" s="417"/>
      <c r="AC32" s="417"/>
      <c r="AD32" s="417"/>
      <c r="AE32" s="417"/>
      <c r="AF32" s="417"/>
      <c r="AG32" s="417"/>
      <c r="AH32" s="417"/>
      <c r="AI32" s="417"/>
      <c r="AJ32" s="417"/>
      <c r="AK32" s="417"/>
      <c r="AL32" s="417"/>
      <c r="AM32" s="417"/>
      <c r="AN32" s="417"/>
      <c r="AO32" s="417"/>
      <c r="AP32" s="417"/>
      <c r="AQ32" s="417"/>
      <c r="AR32" s="417"/>
    </row>
    <row r="33" spans="1:44" x14ac:dyDescent="0.2">
      <c r="A33" s="380"/>
      <c r="B33" s="418" t="s">
        <v>376</v>
      </c>
      <c r="C33" s="59" t="s">
        <v>86</v>
      </c>
      <c r="D33" s="447">
        <f>SUM(F33:AR33)</f>
        <v>0</v>
      </c>
      <c r="E33" s="418"/>
      <c r="F33" s="448">
        <f>MAX(0,-IF(F13=Inputs!$E$23,'Residual Value'!$D$32*(Inputs!$E$23-Inputs!$E$39)/Inputs!$E$39,0))</f>
        <v>0</v>
      </c>
      <c r="G33" s="448">
        <f>MAX(0,-IF(G13=Inputs!$E$23,'Residual Value'!$D$32*(Inputs!$E$23-Inputs!$E$39)/Inputs!$E$39,0))</f>
        <v>0</v>
      </c>
      <c r="H33" s="448">
        <f>MAX(0,-IF(H13=Inputs!$E$23,'Residual Value'!$D$32*(Inputs!$E$23-Inputs!$E$39)/Inputs!$E$39,0))</f>
        <v>0</v>
      </c>
      <c r="I33" s="448">
        <f>MAX(0,-IF(I13=Inputs!$E$23,'Residual Value'!$D$32*(Inputs!$E$23-Inputs!$E$39)/Inputs!$E$39,0))</f>
        <v>0</v>
      </c>
      <c r="J33" s="448">
        <f>MAX(0,-IF(J13=Inputs!$E$23,'Residual Value'!$D$32*(Inputs!$E$23-Inputs!$E$39)/Inputs!$E$39,0))</f>
        <v>0</v>
      </c>
      <c r="K33" s="448">
        <f>MAX(0,-IF(K13=Inputs!$E$23,'Residual Value'!$D$32*(Inputs!$E$23-Inputs!$E$39)/Inputs!$E$39,0))</f>
        <v>0</v>
      </c>
      <c r="L33" s="448">
        <f>MAX(0,-IF(L13=Inputs!$E$23,'Residual Value'!$D$32*(Inputs!$E$23-Inputs!$E$39)/Inputs!$E$39,0))</f>
        <v>0</v>
      </c>
      <c r="M33" s="448">
        <f>MAX(0,-IF(M13=Inputs!$E$23,'Residual Value'!$D$32*(Inputs!$E$23-Inputs!$E$39)/Inputs!$E$39,0))</f>
        <v>0</v>
      </c>
      <c r="N33" s="448">
        <f>MAX(0,-IF(N13=Inputs!$E$23,'Residual Value'!$D$32*(Inputs!$E$23-Inputs!$E$39)/Inputs!$E$39,0))</f>
        <v>0</v>
      </c>
      <c r="O33" s="448">
        <f>MAX(0,-IF(O13=Inputs!$E$23,'Residual Value'!$D$32*(Inputs!$E$23-Inputs!$E$39)/Inputs!$E$39,0))</f>
        <v>0</v>
      </c>
      <c r="P33" s="448">
        <f>MAX(0,-IF(P13=Inputs!$E$23,'Residual Value'!$D$32*(Inputs!$E$23-Inputs!$E$39)/Inputs!$E$39,0))</f>
        <v>0</v>
      </c>
      <c r="Q33" s="448">
        <f>MAX(0,-IF(Q13=Inputs!$E$23,'Residual Value'!$D$32*(Inputs!$E$23-Inputs!$E$39)/Inputs!$E$39,0))</f>
        <v>0</v>
      </c>
      <c r="R33" s="448">
        <f>MAX(0,-IF(R13=Inputs!$E$23,'Residual Value'!$D$32*(Inputs!$E$23-Inputs!$E$39)/Inputs!$E$39,0))</f>
        <v>0</v>
      </c>
      <c r="S33" s="448">
        <f>MAX(0,-IF(S13=Inputs!$E$23,'Residual Value'!$D$32*(Inputs!$E$23-Inputs!$E$39)/Inputs!$E$39,0))</f>
        <v>0</v>
      </c>
      <c r="T33" s="448">
        <f>MAX(0,-IF(T13=Inputs!$E$23,'Residual Value'!$D$32*(Inputs!$E$23-Inputs!$E$39)/Inputs!$E$39,0))</f>
        <v>0</v>
      </c>
      <c r="U33" s="448">
        <f>MAX(0,-IF(U13=Inputs!$E$23,'Residual Value'!$D$32*(Inputs!$E$23-Inputs!$E$39)/Inputs!$E$39,0))</f>
        <v>0</v>
      </c>
      <c r="V33" s="448">
        <f>MAX(0,-IF(V13=Inputs!$E$23,'Residual Value'!$D$32*(Inputs!$E$23-Inputs!$E$39)/Inputs!$E$39,0))</f>
        <v>0</v>
      </c>
      <c r="W33" s="448">
        <f>MAX(0,-IF(W13=Inputs!$E$23,'Residual Value'!$D$32*(Inputs!$E$23-Inputs!$E$39)/Inputs!$E$39,0))</f>
        <v>0</v>
      </c>
      <c r="X33" s="448">
        <f>MAX(0,-IF(X13=Inputs!$E$23,'Residual Value'!$D$32*(Inputs!$E$23-Inputs!$E$39)/Inputs!$E$39,0))</f>
        <v>0</v>
      </c>
      <c r="Y33" s="448">
        <f>MAX(0,-IF(Y13=Inputs!$E$23,'Residual Value'!$D$32*(Inputs!$E$23-Inputs!$E$39)/Inputs!$E$39,0))</f>
        <v>0</v>
      </c>
      <c r="Z33" s="448">
        <f>MAX(0,-IF(Z13=Inputs!$E$23,'Residual Value'!$D$32*(Inputs!$E$23-Inputs!$E$39)/Inputs!$E$39,0))</f>
        <v>0</v>
      </c>
      <c r="AA33" s="448">
        <f>MAX(0,-IF(AA13=Inputs!$E$23,'Residual Value'!$D$32*(Inputs!$E$23-Inputs!$E$39)/Inputs!$E$39,0))</f>
        <v>0</v>
      </c>
      <c r="AB33" s="448">
        <f>MAX(0,-IF(AB13=Inputs!$E$23,'Residual Value'!$D$32*(Inputs!$E$23-Inputs!$E$39)/Inputs!$E$39,0))</f>
        <v>0</v>
      </c>
      <c r="AC33" s="448">
        <f>MAX(0,-IF(AC13=Inputs!$E$23,'Residual Value'!$D$32*(Inputs!$E$23-Inputs!$E$39)/Inputs!$E$39,0))</f>
        <v>0</v>
      </c>
      <c r="AD33" s="448">
        <f>MAX(0,-IF(AD13=Inputs!$E$23,'Residual Value'!$D$32*(Inputs!$E$23-Inputs!$E$39)/Inputs!$E$39,0))</f>
        <v>0</v>
      </c>
      <c r="AE33" s="448">
        <f>MAX(0,-IF(AE13=Inputs!$E$23,'Residual Value'!$D$32*(Inputs!$E$23-Inputs!$E$39)/Inputs!$E$39,0))</f>
        <v>0</v>
      </c>
      <c r="AF33" s="448">
        <f>MAX(0,-IF(AF13=Inputs!$E$23,'Residual Value'!$D$32*(Inputs!$E$23-Inputs!$E$39)/Inputs!$E$39,0))</f>
        <v>0</v>
      </c>
      <c r="AG33" s="448">
        <f>MAX(0,-IF(AG13=Inputs!$E$23,'Residual Value'!$D$32*(Inputs!$E$23-Inputs!$E$39)/Inputs!$E$39,0))</f>
        <v>0</v>
      </c>
      <c r="AH33" s="448">
        <f>MAX(0,-IF(AH13=Inputs!$E$23,'Residual Value'!$D$32*(Inputs!$E$23-Inputs!$E$39)/Inputs!$E$39,0))</f>
        <v>0</v>
      </c>
      <c r="AI33" s="448">
        <f>MAX(0,-IF(AI13=Inputs!$E$23,'Residual Value'!$D$32*(Inputs!$E$23-Inputs!$E$39)/Inputs!$E$39,0))</f>
        <v>0</v>
      </c>
      <c r="AJ33" s="448">
        <f>MAX(0,-IF(AJ13=Inputs!$E$23,'Residual Value'!$D$32*(Inputs!$E$23-Inputs!$E$39)/Inputs!$E$39,0))</f>
        <v>0</v>
      </c>
      <c r="AK33" s="448">
        <f>MAX(0,-IF(AK13=Inputs!$E$23,'Residual Value'!$D$32*(Inputs!$E$23-Inputs!$E$39)/Inputs!$E$39,0))</f>
        <v>0</v>
      </c>
      <c r="AL33" s="448">
        <f>MAX(0,-IF(AL13=Inputs!$E$23,'Residual Value'!$D$32*(Inputs!$E$23-Inputs!$E$39)/Inputs!$E$39,0))</f>
        <v>0</v>
      </c>
      <c r="AM33" s="448">
        <f>MAX(0,-IF(AM13=Inputs!$E$23,'Residual Value'!$D$32*(Inputs!$E$23-Inputs!$E$39)/Inputs!$E$39,0))</f>
        <v>0</v>
      </c>
      <c r="AN33" s="448">
        <f>MAX(0,-IF(AN13=Inputs!$E$23,'Residual Value'!$D$32*(Inputs!$E$23-Inputs!$E$39)/Inputs!$E$39,0))</f>
        <v>0</v>
      </c>
      <c r="AO33" s="448">
        <f>MAX(0,-IF(AO13=Inputs!$E$23,'Residual Value'!$D$32*(Inputs!$E$23-Inputs!$E$39)/Inputs!$E$39,0))</f>
        <v>0</v>
      </c>
      <c r="AP33" s="448">
        <f>MAX(0,-IF(AP13=Inputs!$E$23,'Residual Value'!$D$32*(Inputs!$E$23-Inputs!$E$39)/Inputs!$E$39,0))</f>
        <v>0</v>
      </c>
      <c r="AQ33" s="448">
        <f>MAX(0,-IF(AQ13=Inputs!$E$23,'Residual Value'!$D$32*(Inputs!$E$23-Inputs!$E$39)/Inputs!$E$39,0))</f>
        <v>0</v>
      </c>
      <c r="AR33" s="448">
        <f>MAX(0,-IF(AR13=Inputs!$E$23,'Residual Value'!$D$32*(Inputs!$E$23-Inputs!$E$39)/Inputs!$E$39,0))</f>
        <v>0</v>
      </c>
    </row>
    <row r="34" spans="1:44" x14ac:dyDescent="0.2">
      <c r="A34" s="380"/>
      <c r="B34" s="380" t="s">
        <v>250</v>
      </c>
      <c r="C34" s="52" t="s">
        <v>86</v>
      </c>
      <c r="D34" s="440">
        <f>SUM(F34:AR34)</f>
        <v>0</v>
      </c>
      <c r="E34" s="380"/>
      <c r="F34" s="417">
        <f t="shared" ref="F34:AR34" si="16">F33</f>
        <v>0</v>
      </c>
      <c r="G34" s="417">
        <f t="shared" si="16"/>
        <v>0</v>
      </c>
      <c r="H34" s="417">
        <f t="shared" si="16"/>
        <v>0</v>
      </c>
      <c r="I34" s="417">
        <f t="shared" si="16"/>
        <v>0</v>
      </c>
      <c r="J34" s="417">
        <f t="shared" si="16"/>
        <v>0</v>
      </c>
      <c r="K34" s="417">
        <f t="shared" si="16"/>
        <v>0</v>
      </c>
      <c r="L34" s="417">
        <f t="shared" si="16"/>
        <v>0</v>
      </c>
      <c r="M34" s="417">
        <f t="shared" si="16"/>
        <v>0</v>
      </c>
      <c r="N34" s="417">
        <f t="shared" si="16"/>
        <v>0</v>
      </c>
      <c r="O34" s="417">
        <f t="shared" si="16"/>
        <v>0</v>
      </c>
      <c r="P34" s="417">
        <f t="shared" si="16"/>
        <v>0</v>
      </c>
      <c r="Q34" s="417">
        <f t="shared" si="16"/>
        <v>0</v>
      </c>
      <c r="R34" s="417">
        <f t="shared" si="16"/>
        <v>0</v>
      </c>
      <c r="S34" s="417">
        <f t="shared" si="16"/>
        <v>0</v>
      </c>
      <c r="T34" s="417">
        <f t="shared" si="16"/>
        <v>0</v>
      </c>
      <c r="U34" s="417">
        <f t="shared" si="16"/>
        <v>0</v>
      </c>
      <c r="V34" s="417">
        <f t="shared" si="16"/>
        <v>0</v>
      </c>
      <c r="W34" s="417">
        <f t="shared" si="16"/>
        <v>0</v>
      </c>
      <c r="X34" s="417">
        <f t="shared" si="16"/>
        <v>0</v>
      </c>
      <c r="Y34" s="417">
        <f t="shared" si="16"/>
        <v>0</v>
      </c>
      <c r="Z34" s="417">
        <f t="shared" si="16"/>
        <v>0</v>
      </c>
      <c r="AA34" s="417">
        <f t="shared" si="16"/>
        <v>0</v>
      </c>
      <c r="AB34" s="417">
        <f t="shared" si="16"/>
        <v>0</v>
      </c>
      <c r="AC34" s="417">
        <f t="shared" si="16"/>
        <v>0</v>
      </c>
      <c r="AD34" s="417">
        <f t="shared" si="16"/>
        <v>0</v>
      </c>
      <c r="AE34" s="417">
        <f t="shared" si="16"/>
        <v>0</v>
      </c>
      <c r="AF34" s="417">
        <f t="shared" si="16"/>
        <v>0</v>
      </c>
      <c r="AG34" s="417">
        <f t="shared" si="16"/>
        <v>0</v>
      </c>
      <c r="AH34" s="417">
        <f t="shared" si="16"/>
        <v>0</v>
      </c>
      <c r="AI34" s="417">
        <f t="shared" si="16"/>
        <v>0</v>
      </c>
      <c r="AJ34" s="417">
        <f t="shared" si="16"/>
        <v>0</v>
      </c>
      <c r="AK34" s="417">
        <f t="shared" si="16"/>
        <v>0</v>
      </c>
      <c r="AL34" s="417">
        <f t="shared" si="16"/>
        <v>0</v>
      </c>
      <c r="AM34" s="417">
        <f t="shared" si="16"/>
        <v>0</v>
      </c>
      <c r="AN34" s="417">
        <f t="shared" si="16"/>
        <v>0</v>
      </c>
      <c r="AO34" s="417">
        <f t="shared" si="16"/>
        <v>0</v>
      </c>
      <c r="AP34" s="417">
        <f t="shared" si="16"/>
        <v>0</v>
      </c>
      <c r="AQ34" s="417">
        <f t="shared" si="16"/>
        <v>0</v>
      </c>
      <c r="AR34" s="417">
        <f t="shared" si="16"/>
        <v>0</v>
      </c>
    </row>
    <row r="35" spans="1:44" x14ac:dyDescent="0.2">
      <c r="A35" s="380"/>
      <c r="B35" s="380"/>
      <c r="C35" s="52"/>
      <c r="D35" s="440"/>
      <c r="E35" s="380"/>
      <c r="F35" s="417"/>
      <c r="G35" s="417"/>
      <c r="H35" s="417"/>
      <c r="I35" s="417"/>
      <c r="J35" s="417"/>
      <c r="K35" s="417"/>
      <c r="L35" s="417"/>
      <c r="M35" s="417"/>
      <c r="N35" s="417"/>
      <c r="O35" s="417"/>
      <c r="P35" s="417"/>
      <c r="Q35" s="417"/>
      <c r="R35" s="417"/>
      <c r="S35" s="417"/>
      <c r="T35" s="417"/>
      <c r="U35" s="417"/>
      <c r="V35" s="417"/>
      <c r="W35" s="417"/>
      <c r="X35" s="417"/>
      <c r="Y35" s="417"/>
      <c r="Z35" s="417"/>
      <c r="AA35" s="417"/>
      <c r="AB35" s="417"/>
      <c r="AC35" s="417"/>
      <c r="AD35" s="417"/>
      <c r="AE35" s="417"/>
      <c r="AF35" s="417"/>
      <c r="AG35" s="417"/>
      <c r="AH35" s="417"/>
      <c r="AI35" s="417"/>
      <c r="AJ35" s="417"/>
      <c r="AK35" s="417"/>
      <c r="AL35" s="417"/>
      <c r="AM35" s="417"/>
      <c r="AN35" s="417"/>
      <c r="AO35" s="417"/>
      <c r="AP35" s="417"/>
      <c r="AQ35" s="417"/>
      <c r="AR35" s="417"/>
    </row>
    <row r="36" spans="1:44" x14ac:dyDescent="0.2">
      <c r="A36" s="380"/>
      <c r="B36" s="380"/>
      <c r="C36" s="7"/>
      <c r="D36" s="380"/>
      <c r="E36" s="380"/>
      <c r="F36" s="380"/>
      <c r="G36" s="380"/>
      <c r="H36" s="380"/>
      <c r="I36" s="380"/>
      <c r="J36" s="380"/>
      <c r="K36" s="380"/>
      <c r="L36" s="380"/>
      <c r="M36" s="380"/>
      <c r="N36" s="380"/>
      <c r="O36" s="380"/>
      <c r="P36" s="380"/>
      <c r="Q36" s="380"/>
      <c r="R36" s="380"/>
      <c r="S36" s="380"/>
      <c r="T36" s="380"/>
      <c r="U36" s="380"/>
      <c r="V36" s="380"/>
      <c r="W36" s="380"/>
      <c r="X36" s="380"/>
      <c r="Y36" s="380"/>
      <c r="Z36" s="380"/>
      <c r="AA36" s="380"/>
      <c r="AB36" s="380"/>
      <c r="AC36" s="380"/>
      <c r="AD36" s="380"/>
      <c r="AE36" s="380"/>
      <c r="AF36" s="380"/>
      <c r="AG36" s="380"/>
      <c r="AH36" s="380"/>
      <c r="AI36" s="380"/>
      <c r="AJ36" s="380"/>
      <c r="AK36" s="380"/>
      <c r="AL36" s="380"/>
      <c r="AM36" s="380"/>
      <c r="AN36" s="380"/>
      <c r="AO36" s="380"/>
      <c r="AP36" s="380"/>
      <c r="AQ36" s="380"/>
      <c r="AR36" s="380"/>
    </row>
    <row r="37" spans="1:44" ht="15" x14ac:dyDescent="0.25">
      <c r="A37" s="2" t="s">
        <v>251</v>
      </c>
      <c r="B37" s="380"/>
      <c r="C37" s="7"/>
      <c r="D37" s="380"/>
      <c r="E37" s="380"/>
      <c r="F37" s="380"/>
      <c r="G37" s="380"/>
      <c r="H37" s="380"/>
      <c r="I37" s="380"/>
      <c r="J37" s="380"/>
      <c r="K37" s="380"/>
      <c r="L37" s="380"/>
      <c r="M37" s="380"/>
      <c r="N37" s="380"/>
      <c r="O37" s="380"/>
      <c r="P37" s="380"/>
      <c r="Q37" s="380"/>
      <c r="R37" s="380"/>
      <c r="S37" s="380"/>
      <c r="T37" s="380"/>
      <c r="U37" s="380"/>
      <c r="V37" s="380"/>
      <c r="W37" s="380"/>
      <c r="X37" s="380"/>
      <c r="Y37" s="380"/>
      <c r="Z37" s="380"/>
      <c r="AA37" s="380"/>
      <c r="AB37" s="380"/>
      <c r="AC37" s="380"/>
      <c r="AD37" s="380"/>
      <c r="AE37" s="380"/>
      <c r="AF37" s="380"/>
      <c r="AG37" s="380"/>
      <c r="AH37" s="380"/>
      <c r="AI37" s="380"/>
      <c r="AJ37" s="380"/>
      <c r="AK37" s="380"/>
      <c r="AL37" s="380"/>
      <c r="AM37" s="380"/>
      <c r="AN37" s="380"/>
      <c r="AO37" s="380"/>
      <c r="AP37" s="380"/>
      <c r="AQ37" s="380"/>
      <c r="AR37" s="380"/>
    </row>
    <row r="38" spans="1:44" x14ac:dyDescent="0.2">
      <c r="A38" s="380"/>
      <c r="B38" s="380" t="s">
        <v>252</v>
      </c>
      <c r="C38" s="52" t="s">
        <v>86</v>
      </c>
      <c r="D38" s="440">
        <f>SUM(F38:AR38)</f>
        <v>0</v>
      </c>
      <c r="E38" s="417"/>
      <c r="F38" s="417">
        <f>F$15*F$34</f>
        <v>0</v>
      </c>
      <c r="G38" s="417">
        <f t="shared" ref="G38:AR38" si="17">G$15*G$34</f>
        <v>0</v>
      </c>
      <c r="H38" s="417">
        <f t="shared" si="17"/>
        <v>0</v>
      </c>
      <c r="I38" s="417">
        <f t="shared" si="17"/>
        <v>0</v>
      </c>
      <c r="J38" s="417">
        <f t="shared" si="17"/>
        <v>0</v>
      </c>
      <c r="K38" s="417">
        <f t="shared" si="17"/>
        <v>0</v>
      </c>
      <c r="L38" s="417">
        <f t="shared" si="17"/>
        <v>0</v>
      </c>
      <c r="M38" s="417">
        <f t="shared" si="17"/>
        <v>0</v>
      </c>
      <c r="N38" s="417">
        <f t="shared" si="17"/>
        <v>0</v>
      </c>
      <c r="O38" s="417">
        <f t="shared" si="17"/>
        <v>0</v>
      </c>
      <c r="P38" s="417">
        <f t="shared" si="17"/>
        <v>0</v>
      </c>
      <c r="Q38" s="417">
        <f t="shared" si="17"/>
        <v>0</v>
      </c>
      <c r="R38" s="417">
        <f t="shared" si="17"/>
        <v>0</v>
      </c>
      <c r="S38" s="417">
        <f t="shared" si="17"/>
        <v>0</v>
      </c>
      <c r="T38" s="417">
        <f t="shared" si="17"/>
        <v>0</v>
      </c>
      <c r="U38" s="417">
        <f t="shared" si="17"/>
        <v>0</v>
      </c>
      <c r="V38" s="417">
        <f t="shared" si="17"/>
        <v>0</v>
      </c>
      <c r="W38" s="417">
        <f t="shared" si="17"/>
        <v>0</v>
      </c>
      <c r="X38" s="417">
        <f t="shared" si="17"/>
        <v>0</v>
      </c>
      <c r="Y38" s="417">
        <f t="shared" si="17"/>
        <v>0</v>
      </c>
      <c r="Z38" s="417">
        <f t="shared" si="17"/>
        <v>0</v>
      </c>
      <c r="AA38" s="417">
        <f t="shared" si="17"/>
        <v>0</v>
      </c>
      <c r="AB38" s="417">
        <f t="shared" si="17"/>
        <v>0</v>
      </c>
      <c r="AC38" s="417">
        <f t="shared" si="17"/>
        <v>0</v>
      </c>
      <c r="AD38" s="417">
        <f t="shared" si="17"/>
        <v>0</v>
      </c>
      <c r="AE38" s="417">
        <f t="shared" si="17"/>
        <v>0</v>
      </c>
      <c r="AF38" s="417">
        <f t="shared" si="17"/>
        <v>0</v>
      </c>
      <c r="AG38" s="417">
        <f t="shared" si="17"/>
        <v>0</v>
      </c>
      <c r="AH38" s="417">
        <f t="shared" si="17"/>
        <v>0</v>
      </c>
      <c r="AI38" s="417">
        <f t="shared" si="17"/>
        <v>0</v>
      </c>
      <c r="AJ38" s="417">
        <f t="shared" si="17"/>
        <v>0</v>
      </c>
      <c r="AK38" s="417">
        <f t="shared" si="17"/>
        <v>0</v>
      </c>
      <c r="AL38" s="417">
        <f t="shared" si="17"/>
        <v>0</v>
      </c>
      <c r="AM38" s="417">
        <f t="shared" si="17"/>
        <v>0</v>
      </c>
      <c r="AN38" s="417">
        <f t="shared" si="17"/>
        <v>0</v>
      </c>
      <c r="AO38" s="417">
        <f t="shared" si="17"/>
        <v>0</v>
      </c>
      <c r="AP38" s="417">
        <f t="shared" si="17"/>
        <v>0</v>
      </c>
      <c r="AQ38" s="417">
        <f t="shared" si="17"/>
        <v>0</v>
      </c>
      <c r="AR38" s="417">
        <f t="shared" si="17"/>
        <v>0</v>
      </c>
    </row>
    <row r="39" spans="1:44" x14ac:dyDescent="0.2">
      <c r="A39" s="380"/>
      <c r="B39" s="380" t="str">
        <f>Inputs!$C$30</f>
        <v>2% Discount Factor</v>
      </c>
      <c r="C39" s="52" t="s">
        <v>86</v>
      </c>
      <c r="D39" s="440">
        <f>SUM(F39:AR39)</f>
        <v>0</v>
      </c>
      <c r="E39" s="417"/>
      <c r="F39" s="417">
        <f>F$16*F$34</f>
        <v>0</v>
      </c>
      <c r="G39" s="417">
        <f t="shared" ref="G39:AR39" si="18">G$16*G$34</f>
        <v>0</v>
      </c>
      <c r="H39" s="417">
        <f t="shared" si="18"/>
        <v>0</v>
      </c>
      <c r="I39" s="417">
        <f t="shared" si="18"/>
        <v>0</v>
      </c>
      <c r="J39" s="417">
        <f t="shared" si="18"/>
        <v>0</v>
      </c>
      <c r="K39" s="417">
        <f t="shared" si="18"/>
        <v>0</v>
      </c>
      <c r="L39" s="417">
        <f t="shared" si="18"/>
        <v>0</v>
      </c>
      <c r="M39" s="417">
        <f t="shared" si="18"/>
        <v>0</v>
      </c>
      <c r="N39" s="417">
        <f t="shared" si="18"/>
        <v>0</v>
      </c>
      <c r="O39" s="417">
        <f t="shared" si="18"/>
        <v>0</v>
      </c>
      <c r="P39" s="417">
        <f t="shared" si="18"/>
        <v>0</v>
      </c>
      <c r="Q39" s="417">
        <f t="shared" si="18"/>
        <v>0</v>
      </c>
      <c r="R39" s="417">
        <f t="shared" si="18"/>
        <v>0</v>
      </c>
      <c r="S39" s="417">
        <f t="shared" si="18"/>
        <v>0</v>
      </c>
      <c r="T39" s="417">
        <f t="shared" si="18"/>
        <v>0</v>
      </c>
      <c r="U39" s="417">
        <f t="shared" si="18"/>
        <v>0</v>
      </c>
      <c r="V39" s="417">
        <f t="shared" si="18"/>
        <v>0</v>
      </c>
      <c r="W39" s="417">
        <f t="shared" si="18"/>
        <v>0</v>
      </c>
      <c r="X39" s="417">
        <f t="shared" si="18"/>
        <v>0</v>
      </c>
      <c r="Y39" s="417">
        <f t="shared" si="18"/>
        <v>0</v>
      </c>
      <c r="Z39" s="417">
        <f t="shared" si="18"/>
        <v>0</v>
      </c>
      <c r="AA39" s="417">
        <f t="shared" si="18"/>
        <v>0</v>
      </c>
      <c r="AB39" s="417">
        <f t="shared" si="18"/>
        <v>0</v>
      </c>
      <c r="AC39" s="417">
        <f t="shared" si="18"/>
        <v>0</v>
      </c>
      <c r="AD39" s="417">
        <f t="shared" si="18"/>
        <v>0</v>
      </c>
      <c r="AE39" s="417">
        <f t="shared" si="18"/>
        <v>0</v>
      </c>
      <c r="AF39" s="417">
        <f t="shared" si="18"/>
        <v>0</v>
      </c>
      <c r="AG39" s="417">
        <f t="shared" si="18"/>
        <v>0</v>
      </c>
      <c r="AH39" s="417">
        <f t="shared" si="18"/>
        <v>0</v>
      </c>
      <c r="AI39" s="417">
        <f t="shared" si="18"/>
        <v>0</v>
      </c>
      <c r="AJ39" s="417">
        <f t="shared" si="18"/>
        <v>0</v>
      </c>
      <c r="AK39" s="417">
        <f t="shared" si="18"/>
        <v>0</v>
      </c>
      <c r="AL39" s="417">
        <f t="shared" si="18"/>
        <v>0</v>
      </c>
      <c r="AM39" s="417">
        <f t="shared" si="18"/>
        <v>0</v>
      </c>
      <c r="AN39" s="417">
        <f t="shared" si="18"/>
        <v>0</v>
      </c>
      <c r="AO39" s="417">
        <f t="shared" si="18"/>
        <v>0</v>
      </c>
      <c r="AP39" s="417">
        <f t="shared" si="18"/>
        <v>0</v>
      </c>
      <c r="AQ39" s="417">
        <f t="shared" si="18"/>
        <v>0</v>
      </c>
      <c r="AR39" s="417">
        <f t="shared" si="18"/>
        <v>0</v>
      </c>
    </row>
    <row r="40" spans="1:44" x14ac:dyDescent="0.2">
      <c r="A40" s="380"/>
      <c r="B40" s="380" t="str">
        <f>Inputs!$C$31</f>
        <v>3.1% Discount Factor</v>
      </c>
      <c r="C40" s="52" t="s">
        <v>86</v>
      </c>
      <c r="D40" s="440">
        <f>SUM(F40:AR40)</f>
        <v>0</v>
      </c>
      <c r="E40" s="417"/>
      <c r="F40" s="417">
        <f>F$17*F$34</f>
        <v>0</v>
      </c>
      <c r="G40" s="417">
        <f t="shared" ref="G40:AR40" si="19">G$17*G$34</f>
        <v>0</v>
      </c>
      <c r="H40" s="417">
        <f t="shared" si="19"/>
        <v>0</v>
      </c>
      <c r="I40" s="417">
        <f t="shared" si="19"/>
        <v>0</v>
      </c>
      <c r="J40" s="417">
        <f t="shared" si="19"/>
        <v>0</v>
      </c>
      <c r="K40" s="417">
        <f t="shared" si="19"/>
        <v>0</v>
      </c>
      <c r="L40" s="417">
        <f t="shared" si="19"/>
        <v>0</v>
      </c>
      <c r="M40" s="417">
        <f t="shared" si="19"/>
        <v>0</v>
      </c>
      <c r="N40" s="417">
        <f t="shared" si="19"/>
        <v>0</v>
      </c>
      <c r="O40" s="417">
        <f t="shared" si="19"/>
        <v>0</v>
      </c>
      <c r="P40" s="417">
        <f t="shared" si="19"/>
        <v>0</v>
      </c>
      <c r="Q40" s="417">
        <f t="shared" si="19"/>
        <v>0</v>
      </c>
      <c r="R40" s="417">
        <f t="shared" si="19"/>
        <v>0</v>
      </c>
      <c r="S40" s="417">
        <f t="shared" si="19"/>
        <v>0</v>
      </c>
      <c r="T40" s="417">
        <f t="shared" si="19"/>
        <v>0</v>
      </c>
      <c r="U40" s="417">
        <f t="shared" si="19"/>
        <v>0</v>
      </c>
      <c r="V40" s="417">
        <f t="shared" si="19"/>
        <v>0</v>
      </c>
      <c r="W40" s="417">
        <f t="shared" si="19"/>
        <v>0</v>
      </c>
      <c r="X40" s="417">
        <f t="shared" si="19"/>
        <v>0</v>
      </c>
      <c r="Y40" s="417">
        <f t="shared" si="19"/>
        <v>0</v>
      </c>
      <c r="Z40" s="417">
        <f t="shared" si="19"/>
        <v>0</v>
      </c>
      <c r="AA40" s="417">
        <f t="shared" si="19"/>
        <v>0</v>
      </c>
      <c r="AB40" s="417">
        <f t="shared" si="19"/>
        <v>0</v>
      </c>
      <c r="AC40" s="417">
        <f t="shared" si="19"/>
        <v>0</v>
      </c>
      <c r="AD40" s="417">
        <f t="shared" si="19"/>
        <v>0</v>
      </c>
      <c r="AE40" s="417">
        <f t="shared" si="19"/>
        <v>0</v>
      </c>
      <c r="AF40" s="417">
        <f t="shared" si="19"/>
        <v>0</v>
      </c>
      <c r="AG40" s="417">
        <f t="shared" si="19"/>
        <v>0</v>
      </c>
      <c r="AH40" s="417">
        <f t="shared" si="19"/>
        <v>0</v>
      </c>
      <c r="AI40" s="417">
        <f t="shared" si="19"/>
        <v>0</v>
      </c>
      <c r="AJ40" s="417">
        <f t="shared" si="19"/>
        <v>0</v>
      </c>
      <c r="AK40" s="417">
        <f t="shared" si="19"/>
        <v>0</v>
      </c>
      <c r="AL40" s="417">
        <f t="shared" si="19"/>
        <v>0</v>
      </c>
      <c r="AM40" s="417">
        <f t="shared" si="19"/>
        <v>0</v>
      </c>
      <c r="AN40" s="417">
        <f t="shared" si="19"/>
        <v>0</v>
      </c>
      <c r="AO40" s="417">
        <f t="shared" si="19"/>
        <v>0</v>
      </c>
      <c r="AP40" s="417">
        <f t="shared" si="19"/>
        <v>0</v>
      </c>
      <c r="AQ40" s="417">
        <f t="shared" si="19"/>
        <v>0</v>
      </c>
      <c r="AR40" s="417">
        <f t="shared" si="19"/>
        <v>0</v>
      </c>
    </row>
    <row r="41" spans="1:44" x14ac:dyDescent="0.2">
      <c r="A41" s="380"/>
      <c r="B41" s="380"/>
      <c r="C41" s="7"/>
      <c r="D41" s="380"/>
      <c r="E41" s="380"/>
      <c r="F41" s="380"/>
      <c r="G41" s="380"/>
      <c r="H41" s="380"/>
      <c r="I41" s="380"/>
      <c r="J41" s="380"/>
      <c r="K41" s="380"/>
      <c r="L41" s="380"/>
      <c r="M41" s="380"/>
      <c r="N41" s="380"/>
      <c r="O41" s="380"/>
      <c r="P41" s="380"/>
      <c r="Q41" s="380"/>
      <c r="R41" s="380"/>
      <c r="S41" s="380"/>
      <c r="T41" s="380"/>
      <c r="U41" s="380"/>
      <c r="V41" s="380"/>
      <c r="W41" s="380"/>
      <c r="X41" s="380"/>
      <c r="Y41" s="380"/>
      <c r="Z41" s="380"/>
      <c r="AA41" s="380"/>
      <c r="AB41" s="380"/>
      <c r="AC41" s="380"/>
      <c r="AD41" s="380"/>
      <c r="AE41" s="380"/>
      <c r="AF41" s="380"/>
      <c r="AG41" s="380"/>
      <c r="AH41" s="380"/>
      <c r="AI41" s="380"/>
      <c r="AJ41" s="380"/>
      <c r="AK41" s="380"/>
      <c r="AL41" s="380"/>
      <c r="AM41" s="380"/>
      <c r="AN41" s="380"/>
      <c r="AO41" s="380"/>
      <c r="AP41" s="380"/>
      <c r="AQ41" s="380"/>
      <c r="AR41" s="380"/>
    </row>
    <row r="42" spans="1:44" s="4" customFormat="1" x14ac:dyDescent="0.2">
      <c r="A42" s="450"/>
      <c r="B42" s="449" t="s">
        <v>377</v>
      </c>
      <c r="C42" s="8"/>
      <c r="D42" s="450"/>
      <c r="E42" s="450"/>
      <c r="F42" s="450"/>
      <c r="G42" s="450"/>
      <c r="H42" s="450"/>
      <c r="I42" s="450"/>
      <c r="J42" s="450"/>
      <c r="K42" s="450"/>
      <c r="L42" s="450"/>
      <c r="M42" s="450"/>
      <c r="N42" s="450"/>
      <c r="O42" s="450"/>
      <c r="P42" s="450"/>
      <c r="Q42" s="450"/>
      <c r="R42" s="450"/>
      <c r="S42" s="450"/>
      <c r="T42" s="450"/>
      <c r="U42" s="450"/>
      <c r="V42" s="450"/>
      <c r="W42" s="450"/>
      <c r="X42" s="450"/>
      <c r="Y42" s="450"/>
      <c r="Z42" s="450"/>
      <c r="AA42" s="450"/>
      <c r="AB42" s="450"/>
      <c r="AC42" s="450"/>
      <c r="AD42" s="450"/>
      <c r="AE42" s="450"/>
      <c r="AF42" s="450"/>
      <c r="AG42" s="450"/>
      <c r="AH42" s="450"/>
      <c r="AI42" s="450"/>
      <c r="AJ42" s="450"/>
      <c r="AK42" s="450"/>
      <c r="AL42" s="450"/>
      <c r="AM42" s="450"/>
      <c r="AN42" s="450"/>
      <c r="AO42" s="450"/>
      <c r="AP42" s="450"/>
      <c r="AQ42" s="450"/>
      <c r="AR42" s="450"/>
    </row>
    <row r="43" spans="1:44" ht="15" x14ac:dyDescent="0.25">
      <c r="A43" s="2" t="s">
        <v>378</v>
      </c>
      <c r="B43" s="380"/>
      <c r="C43" s="7"/>
      <c r="D43" s="380"/>
      <c r="E43" s="380"/>
      <c r="F43" s="380"/>
      <c r="G43" s="380"/>
      <c r="H43" s="380"/>
      <c r="I43" s="380"/>
      <c r="J43" s="380"/>
      <c r="K43" s="380"/>
      <c r="L43" s="380"/>
      <c r="M43" s="380"/>
      <c r="N43" s="380"/>
      <c r="O43" s="380"/>
      <c r="P43" s="380"/>
      <c r="Q43" s="380"/>
      <c r="R43" s="380"/>
      <c r="S43" s="380"/>
      <c r="T43" s="380"/>
      <c r="U43" s="380"/>
      <c r="V43" s="380"/>
      <c r="W43" s="380"/>
      <c r="X43" s="380"/>
      <c r="Y43" s="380"/>
      <c r="Z43" s="380"/>
      <c r="AA43" s="380"/>
      <c r="AB43" s="380"/>
      <c r="AC43" s="380"/>
      <c r="AD43" s="380"/>
      <c r="AE43" s="380"/>
      <c r="AF43" s="380"/>
      <c r="AG43" s="380"/>
      <c r="AH43" s="380"/>
      <c r="AI43" s="380"/>
      <c r="AJ43" s="380"/>
      <c r="AK43" s="380"/>
      <c r="AL43" s="380"/>
      <c r="AM43" s="380"/>
      <c r="AN43" s="380"/>
      <c r="AO43" s="380"/>
      <c r="AP43" s="380"/>
      <c r="AQ43" s="380"/>
      <c r="AR43" s="380"/>
    </row>
    <row r="44" spans="1:44" x14ac:dyDescent="0.2">
      <c r="A44" s="380"/>
      <c r="B44" s="380" t="s">
        <v>252</v>
      </c>
      <c r="C44" s="52" t="s">
        <v>86</v>
      </c>
      <c r="D44" s="440">
        <f>SUM(F44:AR44)</f>
        <v>0</v>
      </c>
      <c r="E44" s="443"/>
      <c r="F44" s="417">
        <f t="shared" ref="F44:AR44" si="20">F26</f>
        <v>0</v>
      </c>
      <c r="G44" s="417">
        <f t="shared" si="20"/>
        <v>0</v>
      </c>
      <c r="H44" s="417">
        <f t="shared" si="20"/>
        <v>0</v>
      </c>
      <c r="I44" s="417">
        <f t="shared" si="20"/>
        <v>0</v>
      </c>
      <c r="J44" s="417">
        <f t="shared" si="20"/>
        <v>0</v>
      </c>
      <c r="K44" s="417">
        <f t="shared" si="20"/>
        <v>0</v>
      </c>
      <c r="L44" s="417">
        <f t="shared" si="20"/>
        <v>0</v>
      </c>
      <c r="M44" s="417">
        <f t="shared" si="20"/>
        <v>0</v>
      </c>
      <c r="N44" s="417">
        <f t="shared" si="20"/>
        <v>0</v>
      </c>
      <c r="O44" s="417">
        <f t="shared" si="20"/>
        <v>0</v>
      </c>
      <c r="P44" s="417">
        <f t="shared" si="20"/>
        <v>0</v>
      </c>
      <c r="Q44" s="417">
        <f t="shared" si="20"/>
        <v>0</v>
      </c>
      <c r="R44" s="417">
        <f t="shared" si="20"/>
        <v>0</v>
      </c>
      <c r="S44" s="417">
        <f t="shared" si="20"/>
        <v>0</v>
      </c>
      <c r="T44" s="417">
        <f t="shared" si="20"/>
        <v>0</v>
      </c>
      <c r="U44" s="417">
        <f t="shared" si="20"/>
        <v>0</v>
      </c>
      <c r="V44" s="417">
        <f t="shared" si="20"/>
        <v>0</v>
      </c>
      <c r="W44" s="417">
        <f t="shared" si="20"/>
        <v>0</v>
      </c>
      <c r="X44" s="417">
        <f t="shared" si="20"/>
        <v>0</v>
      </c>
      <c r="Y44" s="417">
        <f t="shared" si="20"/>
        <v>0</v>
      </c>
      <c r="Z44" s="417">
        <f t="shared" si="20"/>
        <v>0</v>
      </c>
      <c r="AA44" s="417">
        <f t="shared" si="20"/>
        <v>0</v>
      </c>
      <c r="AB44" s="417">
        <f t="shared" si="20"/>
        <v>0</v>
      </c>
      <c r="AC44" s="417">
        <f t="shared" si="20"/>
        <v>0</v>
      </c>
      <c r="AD44" s="417">
        <f t="shared" si="20"/>
        <v>0</v>
      </c>
      <c r="AE44" s="417">
        <f t="shared" si="20"/>
        <v>0</v>
      </c>
      <c r="AF44" s="417">
        <f t="shared" si="20"/>
        <v>0</v>
      </c>
      <c r="AG44" s="417">
        <f t="shared" si="20"/>
        <v>0</v>
      </c>
      <c r="AH44" s="417">
        <f t="shared" si="20"/>
        <v>0</v>
      </c>
      <c r="AI44" s="417">
        <f t="shared" si="20"/>
        <v>0</v>
      </c>
      <c r="AJ44" s="417">
        <f t="shared" si="20"/>
        <v>0</v>
      </c>
      <c r="AK44" s="417">
        <f t="shared" si="20"/>
        <v>0</v>
      </c>
      <c r="AL44" s="417">
        <f t="shared" si="20"/>
        <v>0</v>
      </c>
      <c r="AM44" s="417">
        <f t="shared" si="20"/>
        <v>0</v>
      </c>
      <c r="AN44" s="417">
        <f t="shared" si="20"/>
        <v>0</v>
      </c>
      <c r="AO44" s="417">
        <f t="shared" si="20"/>
        <v>0</v>
      </c>
      <c r="AP44" s="417">
        <f t="shared" si="20"/>
        <v>0</v>
      </c>
      <c r="AQ44" s="417">
        <f t="shared" si="20"/>
        <v>0</v>
      </c>
      <c r="AR44" s="417">
        <f t="shared" si="20"/>
        <v>0</v>
      </c>
    </row>
    <row r="45" spans="1:44" x14ac:dyDescent="0.2">
      <c r="A45" s="380"/>
      <c r="B45" s="380" t="str">
        <f>Inputs!$C$30</f>
        <v>2% Discount Factor</v>
      </c>
      <c r="C45" s="52" t="s">
        <v>86</v>
      </c>
      <c r="D45" s="440">
        <f>SUM(F45:AR45)</f>
        <v>0</v>
      </c>
      <c r="E45" s="443"/>
      <c r="F45" s="417">
        <f t="shared" ref="F45:AR45" si="21">F27</f>
        <v>0</v>
      </c>
      <c r="G45" s="417">
        <f t="shared" si="21"/>
        <v>0</v>
      </c>
      <c r="H45" s="417">
        <f t="shared" si="21"/>
        <v>0</v>
      </c>
      <c r="I45" s="417">
        <f t="shared" si="21"/>
        <v>0</v>
      </c>
      <c r="J45" s="417">
        <f t="shared" si="21"/>
        <v>0</v>
      </c>
      <c r="K45" s="417">
        <f t="shared" si="21"/>
        <v>0</v>
      </c>
      <c r="L45" s="417">
        <f t="shared" si="21"/>
        <v>0</v>
      </c>
      <c r="M45" s="417">
        <f t="shared" si="21"/>
        <v>0</v>
      </c>
      <c r="N45" s="417">
        <f t="shared" si="21"/>
        <v>0</v>
      </c>
      <c r="O45" s="417">
        <f t="shared" si="21"/>
        <v>0</v>
      </c>
      <c r="P45" s="417">
        <f t="shared" si="21"/>
        <v>0</v>
      </c>
      <c r="Q45" s="417">
        <f t="shared" si="21"/>
        <v>0</v>
      </c>
      <c r="R45" s="417">
        <f t="shared" si="21"/>
        <v>0</v>
      </c>
      <c r="S45" s="417">
        <f t="shared" si="21"/>
        <v>0</v>
      </c>
      <c r="T45" s="417">
        <f t="shared" si="21"/>
        <v>0</v>
      </c>
      <c r="U45" s="417">
        <f t="shared" si="21"/>
        <v>0</v>
      </c>
      <c r="V45" s="417">
        <f t="shared" si="21"/>
        <v>0</v>
      </c>
      <c r="W45" s="417">
        <f t="shared" si="21"/>
        <v>0</v>
      </c>
      <c r="X45" s="417">
        <f t="shared" si="21"/>
        <v>0</v>
      </c>
      <c r="Y45" s="417">
        <f t="shared" si="21"/>
        <v>0</v>
      </c>
      <c r="Z45" s="417">
        <f t="shared" si="21"/>
        <v>0</v>
      </c>
      <c r="AA45" s="417">
        <f t="shared" si="21"/>
        <v>0</v>
      </c>
      <c r="AB45" s="417">
        <f t="shared" si="21"/>
        <v>0</v>
      </c>
      <c r="AC45" s="417">
        <f t="shared" si="21"/>
        <v>0</v>
      </c>
      <c r="AD45" s="417">
        <f t="shared" si="21"/>
        <v>0</v>
      </c>
      <c r="AE45" s="417">
        <f t="shared" si="21"/>
        <v>0</v>
      </c>
      <c r="AF45" s="417">
        <f t="shared" si="21"/>
        <v>0</v>
      </c>
      <c r="AG45" s="417">
        <f t="shared" si="21"/>
        <v>0</v>
      </c>
      <c r="AH45" s="417">
        <f t="shared" si="21"/>
        <v>0</v>
      </c>
      <c r="AI45" s="417">
        <f t="shared" si="21"/>
        <v>0</v>
      </c>
      <c r="AJ45" s="417">
        <f t="shared" si="21"/>
        <v>0</v>
      </c>
      <c r="AK45" s="417">
        <f t="shared" si="21"/>
        <v>0</v>
      </c>
      <c r="AL45" s="417">
        <f t="shared" si="21"/>
        <v>0</v>
      </c>
      <c r="AM45" s="417">
        <f t="shared" si="21"/>
        <v>0</v>
      </c>
      <c r="AN45" s="417">
        <f t="shared" si="21"/>
        <v>0</v>
      </c>
      <c r="AO45" s="417">
        <f t="shared" si="21"/>
        <v>0</v>
      </c>
      <c r="AP45" s="417">
        <f t="shared" si="21"/>
        <v>0</v>
      </c>
      <c r="AQ45" s="417">
        <f t="shared" si="21"/>
        <v>0</v>
      </c>
      <c r="AR45" s="417">
        <f t="shared" si="21"/>
        <v>0</v>
      </c>
    </row>
    <row r="46" spans="1:44" x14ac:dyDescent="0.2">
      <c r="A46" s="380"/>
      <c r="B46" s="380" t="str">
        <f>Inputs!$C$31</f>
        <v>3.1% Discount Factor</v>
      </c>
      <c r="C46" s="52" t="s">
        <v>86</v>
      </c>
      <c r="D46" s="440">
        <f>SUM(F46:AR46)</f>
        <v>0</v>
      </c>
      <c r="E46" s="443"/>
      <c r="F46" s="417">
        <f t="shared" ref="F46:AR46" si="22">F28</f>
        <v>0</v>
      </c>
      <c r="G46" s="417">
        <f t="shared" si="22"/>
        <v>0</v>
      </c>
      <c r="H46" s="417">
        <f t="shared" si="22"/>
        <v>0</v>
      </c>
      <c r="I46" s="417">
        <f t="shared" si="22"/>
        <v>0</v>
      </c>
      <c r="J46" s="417">
        <f t="shared" si="22"/>
        <v>0</v>
      </c>
      <c r="K46" s="417">
        <f t="shared" si="22"/>
        <v>0</v>
      </c>
      <c r="L46" s="417">
        <f t="shared" si="22"/>
        <v>0</v>
      </c>
      <c r="M46" s="417">
        <f t="shared" si="22"/>
        <v>0</v>
      </c>
      <c r="N46" s="417">
        <f t="shared" si="22"/>
        <v>0</v>
      </c>
      <c r="O46" s="417">
        <f t="shared" si="22"/>
        <v>0</v>
      </c>
      <c r="P46" s="417">
        <f t="shared" si="22"/>
        <v>0</v>
      </c>
      <c r="Q46" s="417">
        <f t="shared" si="22"/>
        <v>0</v>
      </c>
      <c r="R46" s="417">
        <f t="shared" si="22"/>
        <v>0</v>
      </c>
      <c r="S46" s="417">
        <f t="shared" si="22"/>
        <v>0</v>
      </c>
      <c r="T46" s="417">
        <f t="shared" si="22"/>
        <v>0</v>
      </c>
      <c r="U46" s="417">
        <f t="shared" si="22"/>
        <v>0</v>
      </c>
      <c r="V46" s="417">
        <f t="shared" si="22"/>
        <v>0</v>
      </c>
      <c r="W46" s="417">
        <f t="shared" si="22"/>
        <v>0</v>
      </c>
      <c r="X46" s="417">
        <f t="shared" si="22"/>
        <v>0</v>
      </c>
      <c r="Y46" s="417">
        <f t="shared" si="22"/>
        <v>0</v>
      </c>
      <c r="Z46" s="417">
        <f t="shared" si="22"/>
        <v>0</v>
      </c>
      <c r="AA46" s="417">
        <f t="shared" si="22"/>
        <v>0</v>
      </c>
      <c r="AB46" s="417">
        <f t="shared" si="22"/>
        <v>0</v>
      </c>
      <c r="AC46" s="417">
        <f t="shared" si="22"/>
        <v>0</v>
      </c>
      <c r="AD46" s="417">
        <f t="shared" si="22"/>
        <v>0</v>
      </c>
      <c r="AE46" s="417">
        <f t="shared" si="22"/>
        <v>0</v>
      </c>
      <c r="AF46" s="417">
        <f t="shared" si="22"/>
        <v>0</v>
      </c>
      <c r="AG46" s="417">
        <f t="shared" si="22"/>
        <v>0</v>
      </c>
      <c r="AH46" s="417">
        <f t="shared" si="22"/>
        <v>0</v>
      </c>
      <c r="AI46" s="417">
        <f t="shared" si="22"/>
        <v>0</v>
      </c>
      <c r="AJ46" s="417">
        <f t="shared" si="22"/>
        <v>0</v>
      </c>
      <c r="AK46" s="417">
        <f t="shared" si="22"/>
        <v>0</v>
      </c>
      <c r="AL46" s="417">
        <f t="shared" si="22"/>
        <v>0</v>
      </c>
      <c r="AM46" s="417">
        <f t="shared" si="22"/>
        <v>0</v>
      </c>
      <c r="AN46" s="417">
        <f t="shared" si="22"/>
        <v>0</v>
      </c>
      <c r="AO46" s="417">
        <f t="shared" si="22"/>
        <v>0</v>
      </c>
      <c r="AP46" s="417">
        <f t="shared" si="22"/>
        <v>0</v>
      </c>
      <c r="AQ46" s="417">
        <f t="shared" si="22"/>
        <v>0</v>
      </c>
      <c r="AR46" s="417">
        <f t="shared" si="22"/>
        <v>0</v>
      </c>
    </row>
    <row r="47" spans="1:44" x14ac:dyDescent="0.2">
      <c r="A47" s="380"/>
      <c r="B47" s="380"/>
      <c r="C47" s="52"/>
      <c r="D47" s="443"/>
      <c r="E47" s="443"/>
      <c r="F47" s="417"/>
      <c r="G47" s="417"/>
      <c r="H47" s="417"/>
      <c r="I47" s="417"/>
      <c r="J47" s="417"/>
      <c r="K47" s="417"/>
      <c r="L47" s="417"/>
      <c r="M47" s="417"/>
      <c r="N47" s="417"/>
      <c r="O47" s="417"/>
      <c r="P47" s="417"/>
      <c r="Q47" s="417"/>
      <c r="R47" s="417"/>
      <c r="S47" s="417"/>
      <c r="T47" s="417"/>
      <c r="U47" s="417"/>
      <c r="V47" s="417"/>
      <c r="W47" s="417"/>
      <c r="X47" s="417"/>
      <c r="Y47" s="417"/>
      <c r="Z47" s="417"/>
      <c r="AA47" s="417"/>
      <c r="AB47" s="417"/>
      <c r="AC47" s="417"/>
      <c r="AD47" s="417"/>
      <c r="AE47" s="417"/>
      <c r="AF47" s="417"/>
      <c r="AG47" s="417"/>
      <c r="AH47" s="417"/>
      <c r="AI47" s="417"/>
      <c r="AJ47" s="417"/>
      <c r="AK47" s="417"/>
      <c r="AL47" s="417"/>
      <c r="AM47" s="417"/>
      <c r="AN47" s="417"/>
      <c r="AO47" s="417"/>
      <c r="AP47" s="417"/>
      <c r="AQ47" s="417"/>
      <c r="AR47" s="417"/>
    </row>
    <row r="48" spans="1:44" ht="15" x14ac:dyDescent="0.25">
      <c r="A48" s="2" t="s">
        <v>379</v>
      </c>
      <c r="B48" s="380"/>
      <c r="C48" s="7"/>
      <c r="D48" s="380"/>
      <c r="E48" s="380"/>
      <c r="F48" s="417"/>
      <c r="G48" s="417"/>
      <c r="H48" s="417"/>
      <c r="I48" s="417"/>
      <c r="J48" s="417"/>
      <c r="K48" s="417"/>
      <c r="L48" s="417"/>
      <c r="M48" s="417"/>
      <c r="N48" s="417"/>
      <c r="O48" s="417"/>
      <c r="P48" s="417"/>
      <c r="Q48" s="417"/>
      <c r="R48" s="417"/>
      <c r="S48" s="417"/>
      <c r="T48" s="417"/>
      <c r="U48" s="417"/>
      <c r="V48" s="417"/>
      <c r="W48" s="417"/>
      <c r="X48" s="417"/>
      <c r="Y48" s="417"/>
      <c r="Z48" s="417"/>
      <c r="AA48" s="417"/>
      <c r="AB48" s="417"/>
      <c r="AC48" s="417"/>
      <c r="AD48" s="417"/>
      <c r="AE48" s="417"/>
      <c r="AF48" s="417"/>
      <c r="AG48" s="417"/>
      <c r="AH48" s="417"/>
      <c r="AI48" s="417"/>
      <c r="AJ48" s="417"/>
      <c r="AK48" s="417"/>
      <c r="AL48" s="417"/>
      <c r="AM48" s="417"/>
      <c r="AN48" s="417"/>
      <c r="AO48" s="417"/>
      <c r="AP48" s="417"/>
      <c r="AQ48" s="417"/>
      <c r="AR48" s="417"/>
    </row>
    <row r="49" spans="1:44" x14ac:dyDescent="0.2">
      <c r="A49" s="380"/>
      <c r="B49" s="380" t="s">
        <v>252</v>
      </c>
      <c r="C49" s="52" t="s">
        <v>86</v>
      </c>
      <c r="D49" s="440">
        <f>SUM(F49:AR49)</f>
        <v>0</v>
      </c>
      <c r="E49" s="380"/>
      <c r="F49" s="417">
        <f>F38</f>
        <v>0</v>
      </c>
      <c r="G49" s="417">
        <f t="shared" ref="G49:AR49" si="23">G38</f>
        <v>0</v>
      </c>
      <c r="H49" s="417">
        <f t="shared" si="23"/>
        <v>0</v>
      </c>
      <c r="I49" s="417">
        <f t="shared" si="23"/>
        <v>0</v>
      </c>
      <c r="J49" s="417">
        <f t="shared" si="23"/>
        <v>0</v>
      </c>
      <c r="K49" s="417">
        <f t="shared" si="23"/>
        <v>0</v>
      </c>
      <c r="L49" s="417">
        <f t="shared" si="23"/>
        <v>0</v>
      </c>
      <c r="M49" s="417">
        <f t="shared" si="23"/>
        <v>0</v>
      </c>
      <c r="N49" s="417">
        <f t="shared" si="23"/>
        <v>0</v>
      </c>
      <c r="O49" s="417">
        <f t="shared" si="23"/>
        <v>0</v>
      </c>
      <c r="P49" s="417">
        <f t="shared" si="23"/>
        <v>0</v>
      </c>
      <c r="Q49" s="417">
        <f t="shared" si="23"/>
        <v>0</v>
      </c>
      <c r="R49" s="417">
        <f t="shared" si="23"/>
        <v>0</v>
      </c>
      <c r="S49" s="417">
        <f t="shared" si="23"/>
        <v>0</v>
      </c>
      <c r="T49" s="417">
        <f t="shared" si="23"/>
        <v>0</v>
      </c>
      <c r="U49" s="417">
        <f t="shared" si="23"/>
        <v>0</v>
      </c>
      <c r="V49" s="417">
        <f t="shared" si="23"/>
        <v>0</v>
      </c>
      <c r="W49" s="417">
        <f t="shared" si="23"/>
        <v>0</v>
      </c>
      <c r="X49" s="417">
        <f t="shared" si="23"/>
        <v>0</v>
      </c>
      <c r="Y49" s="417">
        <f t="shared" si="23"/>
        <v>0</v>
      </c>
      <c r="Z49" s="417">
        <f t="shared" si="23"/>
        <v>0</v>
      </c>
      <c r="AA49" s="417">
        <f t="shared" si="23"/>
        <v>0</v>
      </c>
      <c r="AB49" s="417">
        <f t="shared" si="23"/>
        <v>0</v>
      </c>
      <c r="AC49" s="417">
        <f t="shared" si="23"/>
        <v>0</v>
      </c>
      <c r="AD49" s="417">
        <f t="shared" si="23"/>
        <v>0</v>
      </c>
      <c r="AE49" s="417">
        <f t="shared" si="23"/>
        <v>0</v>
      </c>
      <c r="AF49" s="417">
        <f t="shared" si="23"/>
        <v>0</v>
      </c>
      <c r="AG49" s="417">
        <f t="shared" si="23"/>
        <v>0</v>
      </c>
      <c r="AH49" s="417">
        <f t="shared" si="23"/>
        <v>0</v>
      </c>
      <c r="AI49" s="417">
        <f t="shared" si="23"/>
        <v>0</v>
      </c>
      <c r="AJ49" s="417">
        <f t="shared" si="23"/>
        <v>0</v>
      </c>
      <c r="AK49" s="417">
        <f t="shared" si="23"/>
        <v>0</v>
      </c>
      <c r="AL49" s="417">
        <f t="shared" si="23"/>
        <v>0</v>
      </c>
      <c r="AM49" s="417">
        <f t="shared" si="23"/>
        <v>0</v>
      </c>
      <c r="AN49" s="417">
        <f t="shared" si="23"/>
        <v>0</v>
      </c>
      <c r="AO49" s="417">
        <f t="shared" si="23"/>
        <v>0</v>
      </c>
      <c r="AP49" s="417">
        <f t="shared" si="23"/>
        <v>0</v>
      </c>
      <c r="AQ49" s="417">
        <f t="shared" si="23"/>
        <v>0</v>
      </c>
      <c r="AR49" s="417">
        <f t="shared" si="23"/>
        <v>0</v>
      </c>
    </row>
    <row r="50" spans="1:44" x14ac:dyDescent="0.2">
      <c r="A50" s="380"/>
      <c r="B50" s="380" t="str">
        <f>Inputs!$C$30</f>
        <v>2% Discount Factor</v>
      </c>
      <c r="C50" s="52" t="s">
        <v>86</v>
      </c>
      <c r="D50" s="440">
        <f>SUM(F50:AR50)</f>
        <v>0</v>
      </c>
      <c r="E50" s="380"/>
      <c r="F50" s="417">
        <f t="shared" ref="F50:AR51" si="24">F39</f>
        <v>0</v>
      </c>
      <c r="G50" s="417">
        <f t="shared" si="24"/>
        <v>0</v>
      </c>
      <c r="H50" s="417">
        <f t="shared" si="24"/>
        <v>0</v>
      </c>
      <c r="I50" s="417">
        <f t="shared" si="24"/>
        <v>0</v>
      </c>
      <c r="J50" s="417">
        <f t="shared" si="24"/>
        <v>0</v>
      </c>
      <c r="K50" s="417">
        <f t="shared" si="24"/>
        <v>0</v>
      </c>
      <c r="L50" s="417">
        <f t="shared" si="24"/>
        <v>0</v>
      </c>
      <c r="M50" s="417">
        <f t="shared" si="24"/>
        <v>0</v>
      </c>
      <c r="N50" s="417">
        <f t="shared" si="24"/>
        <v>0</v>
      </c>
      <c r="O50" s="417">
        <f t="shared" si="24"/>
        <v>0</v>
      </c>
      <c r="P50" s="417">
        <f t="shared" si="24"/>
        <v>0</v>
      </c>
      <c r="Q50" s="417">
        <f t="shared" si="24"/>
        <v>0</v>
      </c>
      <c r="R50" s="417">
        <f t="shared" si="24"/>
        <v>0</v>
      </c>
      <c r="S50" s="417">
        <f t="shared" si="24"/>
        <v>0</v>
      </c>
      <c r="T50" s="417">
        <f t="shared" si="24"/>
        <v>0</v>
      </c>
      <c r="U50" s="417">
        <f t="shared" si="24"/>
        <v>0</v>
      </c>
      <c r="V50" s="417">
        <f t="shared" si="24"/>
        <v>0</v>
      </c>
      <c r="W50" s="417">
        <f t="shared" si="24"/>
        <v>0</v>
      </c>
      <c r="X50" s="417">
        <f t="shared" si="24"/>
        <v>0</v>
      </c>
      <c r="Y50" s="417">
        <f t="shared" si="24"/>
        <v>0</v>
      </c>
      <c r="Z50" s="417">
        <f t="shared" si="24"/>
        <v>0</v>
      </c>
      <c r="AA50" s="417">
        <f t="shared" si="24"/>
        <v>0</v>
      </c>
      <c r="AB50" s="417">
        <f t="shared" si="24"/>
        <v>0</v>
      </c>
      <c r="AC50" s="417">
        <f t="shared" si="24"/>
        <v>0</v>
      </c>
      <c r="AD50" s="417">
        <f t="shared" si="24"/>
        <v>0</v>
      </c>
      <c r="AE50" s="417">
        <f t="shared" si="24"/>
        <v>0</v>
      </c>
      <c r="AF50" s="417">
        <f t="shared" si="24"/>
        <v>0</v>
      </c>
      <c r="AG50" s="417">
        <f t="shared" si="24"/>
        <v>0</v>
      </c>
      <c r="AH50" s="417">
        <f t="shared" si="24"/>
        <v>0</v>
      </c>
      <c r="AI50" s="417">
        <f t="shared" si="24"/>
        <v>0</v>
      </c>
      <c r="AJ50" s="417">
        <f t="shared" si="24"/>
        <v>0</v>
      </c>
      <c r="AK50" s="417">
        <f t="shared" si="24"/>
        <v>0</v>
      </c>
      <c r="AL50" s="417">
        <f t="shared" si="24"/>
        <v>0</v>
      </c>
      <c r="AM50" s="417">
        <f t="shared" si="24"/>
        <v>0</v>
      </c>
      <c r="AN50" s="417">
        <f t="shared" si="24"/>
        <v>0</v>
      </c>
      <c r="AO50" s="417">
        <f t="shared" si="24"/>
        <v>0</v>
      </c>
      <c r="AP50" s="417">
        <f t="shared" si="24"/>
        <v>0</v>
      </c>
      <c r="AQ50" s="417">
        <f t="shared" si="24"/>
        <v>0</v>
      </c>
      <c r="AR50" s="417">
        <f t="shared" si="24"/>
        <v>0</v>
      </c>
    </row>
    <row r="51" spans="1:44" x14ac:dyDescent="0.2">
      <c r="A51" s="380"/>
      <c r="B51" s="380" t="str">
        <f>Inputs!$C$31</f>
        <v>3.1% Discount Factor</v>
      </c>
      <c r="C51" s="52" t="s">
        <v>86</v>
      </c>
      <c r="D51" s="440">
        <f>SUM(F51:AR51)</f>
        <v>0</v>
      </c>
      <c r="E51" s="380"/>
      <c r="F51" s="417">
        <f t="shared" si="24"/>
        <v>0</v>
      </c>
      <c r="G51" s="417">
        <f t="shared" si="24"/>
        <v>0</v>
      </c>
      <c r="H51" s="417">
        <f t="shared" si="24"/>
        <v>0</v>
      </c>
      <c r="I51" s="417">
        <f t="shared" si="24"/>
        <v>0</v>
      </c>
      <c r="J51" s="417">
        <f t="shared" si="24"/>
        <v>0</v>
      </c>
      <c r="K51" s="417">
        <f t="shared" si="24"/>
        <v>0</v>
      </c>
      <c r="L51" s="417">
        <f t="shared" si="24"/>
        <v>0</v>
      </c>
      <c r="M51" s="417">
        <f t="shared" si="24"/>
        <v>0</v>
      </c>
      <c r="N51" s="417">
        <f t="shared" si="24"/>
        <v>0</v>
      </c>
      <c r="O51" s="417">
        <f t="shared" si="24"/>
        <v>0</v>
      </c>
      <c r="P51" s="417">
        <f t="shared" si="24"/>
        <v>0</v>
      </c>
      <c r="Q51" s="417">
        <f t="shared" si="24"/>
        <v>0</v>
      </c>
      <c r="R51" s="417">
        <f t="shared" si="24"/>
        <v>0</v>
      </c>
      <c r="S51" s="417">
        <f t="shared" si="24"/>
        <v>0</v>
      </c>
      <c r="T51" s="417">
        <f t="shared" si="24"/>
        <v>0</v>
      </c>
      <c r="U51" s="417">
        <f t="shared" si="24"/>
        <v>0</v>
      </c>
      <c r="V51" s="417">
        <f t="shared" si="24"/>
        <v>0</v>
      </c>
      <c r="W51" s="417">
        <f t="shared" si="24"/>
        <v>0</v>
      </c>
      <c r="X51" s="417">
        <f t="shared" si="24"/>
        <v>0</v>
      </c>
      <c r="Y51" s="417">
        <f t="shared" si="24"/>
        <v>0</v>
      </c>
      <c r="Z51" s="417">
        <f t="shared" si="24"/>
        <v>0</v>
      </c>
      <c r="AA51" s="417">
        <f t="shared" si="24"/>
        <v>0</v>
      </c>
      <c r="AB51" s="417">
        <f t="shared" si="24"/>
        <v>0</v>
      </c>
      <c r="AC51" s="417">
        <f t="shared" si="24"/>
        <v>0</v>
      </c>
      <c r="AD51" s="417">
        <f t="shared" si="24"/>
        <v>0</v>
      </c>
      <c r="AE51" s="417">
        <f t="shared" si="24"/>
        <v>0</v>
      </c>
      <c r="AF51" s="417">
        <f t="shared" si="24"/>
        <v>0</v>
      </c>
      <c r="AG51" s="417">
        <f t="shared" si="24"/>
        <v>0</v>
      </c>
      <c r="AH51" s="417">
        <f t="shared" si="24"/>
        <v>0</v>
      </c>
      <c r="AI51" s="417">
        <f t="shared" si="24"/>
        <v>0</v>
      </c>
      <c r="AJ51" s="417">
        <f t="shared" si="24"/>
        <v>0</v>
      </c>
      <c r="AK51" s="417">
        <f t="shared" si="24"/>
        <v>0</v>
      </c>
      <c r="AL51" s="417">
        <f t="shared" si="24"/>
        <v>0</v>
      </c>
      <c r="AM51" s="417">
        <f t="shared" si="24"/>
        <v>0</v>
      </c>
      <c r="AN51" s="417">
        <f t="shared" si="24"/>
        <v>0</v>
      </c>
      <c r="AO51" s="417">
        <f t="shared" si="24"/>
        <v>0</v>
      </c>
      <c r="AP51" s="417">
        <f t="shared" si="24"/>
        <v>0</v>
      </c>
      <c r="AQ51" s="417">
        <f t="shared" si="24"/>
        <v>0</v>
      </c>
      <c r="AR51" s="417">
        <f t="shared" si="24"/>
        <v>0</v>
      </c>
    </row>
    <row r="52" spans="1:44" x14ac:dyDescent="0.2">
      <c r="A52" s="380"/>
      <c r="B52" s="380"/>
      <c r="C52" s="380"/>
      <c r="D52" s="380"/>
      <c r="E52" s="380"/>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c r="AN52" s="417"/>
      <c r="AO52" s="417"/>
      <c r="AP52" s="417"/>
      <c r="AQ52" s="417"/>
      <c r="AR52" s="417"/>
    </row>
    <row r="53" spans="1:44" ht="15" x14ac:dyDescent="0.25">
      <c r="A53" s="2" t="s">
        <v>297</v>
      </c>
      <c r="B53" s="380"/>
      <c r="C53" s="380"/>
      <c r="D53" s="380"/>
      <c r="E53" s="380"/>
      <c r="F53" s="417"/>
      <c r="G53" s="417"/>
      <c r="H53" s="417"/>
      <c r="I53" s="417"/>
      <c r="J53" s="417"/>
      <c r="K53" s="417"/>
      <c r="L53" s="417"/>
      <c r="M53" s="417"/>
      <c r="N53" s="417"/>
      <c r="O53" s="417"/>
      <c r="P53" s="417"/>
      <c r="Q53" s="417"/>
      <c r="R53" s="417"/>
      <c r="S53" s="417"/>
      <c r="T53" s="417"/>
      <c r="U53" s="417"/>
      <c r="V53" s="417"/>
      <c r="W53" s="417"/>
      <c r="X53" s="417"/>
      <c r="Y53" s="417"/>
      <c r="Z53" s="417"/>
      <c r="AA53" s="417"/>
      <c r="AB53" s="417"/>
      <c r="AC53" s="417"/>
      <c r="AD53" s="417"/>
      <c r="AE53" s="417"/>
      <c r="AF53" s="417"/>
      <c r="AG53" s="417"/>
      <c r="AH53" s="417"/>
      <c r="AI53" s="417"/>
      <c r="AJ53" s="417"/>
      <c r="AK53" s="417"/>
      <c r="AL53" s="417"/>
      <c r="AM53" s="417"/>
      <c r="AN53" s="417"/>
      <c r="AO53" s="417"/>
      <c r="AP53" s="417"/>
      <c r="AQ53" s="417"/>
      <c r="AR53" s="417"/>
    </row>
    <row r="54" spans="1:44" x14ac:dyDescent="0.2">
      <c r="A54" s="380"/>
      <c r="B54" s="380" t="s">
        <v>252</v>
      </c>
      <c r="C54" s="52" t="s">
        <v>86</v>
      </c>
      <c r="D54" s="440">
        <f>SUM(F54:AR54)</f>
        <v>0</v>
      </c>
      <c r="E54" s="380"/>
      <c r="F54" s="417">
        <f>F49-F44</f>
        <v>0</v>
      </c>
      <c r="G54" s="417">
        <f t="shared" ref="G54:AR54" si="25">G49-G44</f>
        <v>0</v>
      </c>
      <c r="H54" s="417">
        <f t="shared" si="25"/>
        <v>0</v>
      </c>
      <c r="I54" s="417">
        <f t="shared" si="25"/>
        <v>0</v>
      </c>
      <c r="J54" s="417">
        <f t="shared" si="25"/>
        <v>0</v>
      </c>
      <c r="K54" s="417">
        <f t="shared" si="25"/>
        <v>0</v>
      </c>
      <c r="L54" s="417">
        <f t="shared" si="25"/>
        <v>0</v>
      </c>
      <c r="M54" s="417">
        <f t="shared" si="25"/>
        <v>0</v>
      </c>
      <c r="N54" s="417">
        <f t="shared" si="25"/>
        <v>0</v>
      </c>
      <c r="O54" s="417">
        <f t="shared" si="25"/>
        <v>0</v>
      </c>
      <c r="P54" s="417">
        <f t="shared" si="25"/>
        <v>0</v>
      </c>
      <c r="Q54" s="417">
        <f t="shared" si="25"/>
        <v>0</v>
      </c>
      <c r="R54" s="417">
        <f t="shared" si="25"/>
        <v>0</v>
      </c>
      <c r="S54" s="417">
        <f t="shared" si="25"/>
        <v>0</v>
      </c>
      <c r="T54" s="417">
        <f t="shared" si="25"/>
        <v>0</v>
      </c>
      <c r="U54" s="417">
        <f t="shared" si="25"/>
        <v>0</v>
      </c>
      <c r="V54" s="417">
        <f t="shared" si="25"/>
        <v>0</v>
      </c>
      <c r="W54" s="417">
        <f t="shared" si="25"/>
        <v>0</v>
      </c>
      <c r="X54" s="417">
        <f t="shared" si="25"/>
        <v>0</v>
      </c>
      <c r="Y54" s="417">
        <f t="shared" si="25"/>
        <v>0</v>
      </c>
      <c r="Z54" s="417">
        <f t="shared" si="25"/>
        <v>0</v>
      </c>
      <c r="AA54" s="417">
        <f t="shared" si="25"/>
        <v>0</v>
      </c>
      <c r="AB54" s="417">
        <f t="shared" si="25"/>
        <v>0</v>
      </c>
      <c r="AC54" s="417">
        <f t="shared" si="25"/>
        <v>0</v>
      </c>
      <c r="AD54" s="417">
        <f t="shared" si="25"/>
        <v>0</v>
      </c>
      <c r="AE54" s="417">
        <f t="shared" si="25"/>
        <v>0</v>
      </c>
      <c r="AF54" s="417">
        <f t="shared" si="25"/>
        <v>0</v>
      </c>
      <c r="AG54" s="417">
        <f t="shared" si="25"/>
        <v>0</v>
      </c>
      <c r="AH54" s="417">
        <f t="shared" si="25"/>
        <v>0</v>
      </c>
      <c r="AI54" s="417">
        <f t="shared" si="25"/>
        <v>0</v>
      </c>
      <c r="AJ54" s="417">
        <f t="shared" si="25"/>
        <v>0</v>
      </c>
      <c r="AK54" s="417">
        <f t="shared" si="25"/>
        <v>0</v>
      </c>
      <c r="AL54" s="417">
        <f t="shared" si="25"/>
        <v>0</v>
      </c>
      <c r="AM54" s="417">
        <f t="shared" si="25"/>
        <v>0</v>
      </c>
      <c r="AN54" s="417">
        <f t="shared" si="25"/>
        <v>0</v>
      </c>
      <c r="AO54" s="417">
        <f t="shared" si="25"/>
        <v>0</v>
      </c>
      <c r="AP54" s="417">
        <f t="shared" si="25"/>
        <v>0</v>
      </c>
      <c r="AQ54" s="417">
        <f t="shared" si="25"/>
        <v>0</v>
      </c>
      <c r="AR54" s="417">
        <f t="shared" si="25"/>
        <v>0</v>
      </c>
    </row>
    <row r="55" spans="1:44" x14ac:dyDescent="0.2">
      <c r="A55" s="380"/>
      <c r="B55" s="380" t="str">
        <f>Inputs!$C$30</f>
        <v>2% Discount Factor</v>
      </c>
      <c r="C55" s="52" t="s">
        <v>86</v>
      </c>
      <c r="D55" s="440">
        <f>SUM(F55:AR55)</f>
        <v>0</v>
      </c>
      <c r="E55" s="380"/>
      <c r="F55" s="417">
        <f t="shared" ref="F55:AR55" si="26">F50-F45</f>
        <v>0</v>
      </c>
      <c r="G55" s="417">
        <f t="shared" si="26"/>
        <v>0</v>
      </c>
      <c r="H55" s="417">
        <f t="shared" si="26"/>
        <v>0</v>
      </c>
      <c r="I55" s="417">
        <f t="shared" si="26"/>
        <v>0</v>
      </c>
      <c r="J55" s="417">
        <f t="shared" si="26"/>
        <v>0</v>
      </c>
      <c r="K55" s="417">
        <f t="shared" si="26"/>
        <v>0</v>
      </c>
      <c r="L55" s="417">
        <f t="shared" si="26"/>
        <v>0</v>
      </c>
      <c r="M55" s="417">
        <f t="shared" si="26"/>
        <v>0</v>
      </c>
      <c r="N55" s="417">
        <f t="shared" si="26"/>
        <v>0</v>
      </c>
      <c r="O55" s="417">
        <f t="shared" si="26"/>
        <v>0</v>
      </c>
      <c r="P55" s="417">
        <f t="shared" si="26"/>
        <v>0</v>
      </c>
      <c r="Q55" s="417">
        <f t="shared" si="26"/>
        <v>0</v>
      </c>
      <c r="R55" s="417">
        <f t="shared" si="26"/>
        <v>0</v>
      </c>
      <c r="S55" s="417">
        <f t="shared" si="26"/>
        <v>0</v>
      </c>
      <c r="T55" s="417">
        <f t="shared" si="26"/>
        <v>0</v>
      </c>
      <c r="U55" s="417">
        <f t="shared" si="26"/>
        <v>0</v>
      </c>
      <c r="V55" s="417">
        <f t="shared" si="26"/>
        <v>0</v>
      </c>
      <c r="W55" s="417">
        <f t="shared" si="26"/>
        <v>0</v>
      </c>
      <c r="X55" s="417">
        <f t="shared" si="26"/>
        <v>0</v>
      </c>
      <c r="Y55" s="417">
        <f t="shared" si="26"/>
        <v>0</v>
      </c>
      <c r="Z55" s="417">
        <f t="shared" si="26"/>
        <v>0</v>
      </c>
      <c r="AA55" s="417">
        <f t="shared" si="26"/>
        <v>0</v>
      </c>
      <c r="AB55" s="417">
        <f t="shared" si="26"/>
        <v>0</v>
      </c>
      <c r="AC55" s="417">
        <f t="shared" si="26"/>
        <v>0</v>
      </c>
      <c r="AD55" s="417">
        <f t="shared" si="26"/>
        <v>0</v>
      </c>
      <c r="AE55" s="417">
        <f t="shared" si="26"/>
        <v>0</v>
      </c>
      <c r="AF55" s="417">
        <f t="shared" si="26"/>
        <v>0</v>
      </c>
      <c r="AG55" s="417">
        <f t="shared" si="26"/>
        <v>0</v>
      </c>
      <c r="AH55" s="417">
        <f t="shared" si="26"/>
        <v>0</v>
      </c>
      <c r="AI55" s="417">
        <f t="shared" si="26"/>
        <v>0</v>
      </c>
      <c r="AJ55" s="417">
        <f t="shared" si="26"/>
        <v>0</v>
      </c>
      <c r="AK55" s="417">
        <f t="shared" si="26"/>
        <v>0</v>
      </c>
      <c r="AL55" s="417">
        <f t="shared" si="26"/>
        <v>0</v>
      </c>
      <c r="AM55" s="417">
        <f t="shared" si="26"/>
        <v>0</v>
      </c>
      <c r="AN55" s="417">
        <f t="shared" si="26"/>
        <v>0</v>
      </c>
      <c r="AO55" s="417">
        <f t="shared" si="26"/>
        <v>0</v>
      </c>
      <c r="AP55" s="417">
        <f t="shared" si="26"/>
        <v>0</v>
      </c>
      <c r="AQ55" s="417">
        <f t="shared" si="26"/>
        <v>0</v>
      </c>
      <c r="AR55" s="417">
        <f t="shared" si="26"/>
        <v>0</v>
      </c>
    </row>
    <row r="56" spans="1:44" x14ac:dyDescent="0.2">
      <c r="A56" s="380"/>
      <c r="B56" s="380" t="str">
        <f>Inputs!$C$31</f>
        <v>3.1% Discount Factor</v>
      </c>
      <c r="C56" s="52" t="s">
        <v>86</v>
      </c>
      <c r="D56" s="440">
        <f>SUM(F56:AR56)</f>
        <v>0</v>
      </c>
      <c r="E56" s="380"/>
      <c r="F56" s="417">
        <f t="shared" ref="F56:AR56" si="27">F51-F46</f>
        <v>0</v>
      </c>
      <c r="G56" s="417">
        <f t="shared" si="27"/>
        <v>0</v>
      </c>
      <c r="H56" s="417">
        <f t="shared" si="27"/>
        <v>0</v>
      </c>
      <c r="I56" s="417">
        <f t="shared" si="27"/>
        <v>0</v>
      </c>
      <c r="J56" s="417">
        <f t="shared" si="27"/>
        <v>0</v>
      </c>
      <c r="K56" s="417">
        <f t="shared" si="27"/>
        <v>0</v>
      </c>
      <c r="L56" s="417">
        <f t="shared" si="27"/>
        <v>0</v>
      </c>
      <c r="M56" s="417">
        <f t="shared" si="27"/>
        <v>0</v>
      </c>
      <c r="N56" s="417">
        <f t="shared" si="27"/>
        <v>0</v>
      </c>
      <c r="O56" s="417">
        <f t="shared" si="27"/>
        <v>0</v>
      </c>
      <c r="P56" s="417">
        <f t="shared" si="27"/>
        <v>0</v>
      </c>
      <c r="Q56" s="417">
        <f t="shared" si="27"/>
        <v>0</v>
      </c>
      <c r="R56" s="417">
        <f t="shared" si="27"/>
        <v>0</v>
      </c>
      <c r="S56" s="417">
        <f t="shared" si="27"/>
        <v>0</v>
      </c>
      <c r="T56" s="417">
        <f t="shared" si="27"/>
        <v>0</v>
      </c>
      <c r="U56" s="417">
        <f t="shared" si="27"/>
        <v>0</v>
      </c>
      <c r="V56" s="417">
        <f t="shared" si="27"/>
        <v>0</v>
      </c>
      <c r="W56" s="417">
        <f t="shared" si="27"/>
        <v>0</v>
      </c>
      <c r="X56" s="417">
        <f t="shared" si="27"/>
        <v>0</v>
      </c>
      <c r="Y56" s="417">
        <f t="shared" si="27"/>
        <v>0</v>
      </c>
      <c r="Z56" s="417">
        <f t="shared" si="27"/>
        <v>0</v>
      </c>
      <c r="AA56" s="417">
        <f t="shared" si="27"/>
        <v>0</v>
      </c>
      <c r="AB56" s="417">
        <f t="shared" si="27"/>
        <v>0</v>
      </c>
      <c r="AC56" s="417">
        <f t="shared" si="27"/>
        <v>0</v>
      </c>
      <c r="AD56" s="417">
        <f t="shared" si="27"/>
        <v>0</v>
      </c>
      <c r="AE56" s="417">
        <f t="shared" si="27"/>
        <v>0</v>
      </c>
      <c r="AF56" s="417">
        <f t="shared" si="27"/>
        <v>0</v>
      </c>
      <c r="AG56" s="417">
        <f t="shared" si="27"/>
        <v>0</v>
      </c>
      <c r="AH56" s="417">
        <f t="shared" si="27"/>
        <v>0</v>
      </c>
      <c r="AI56" s="417">
        <f t="shared" si="27"/>
        <v>0</v>
      </c>
      <c r="AJ56" s="417">
        <f t="shared" si="27"/>
        <v>0</v>
      </c>
      <c r="AK56" s="417">
        <f t="shared" si="27"/>
        <v>0</v>
      </c>
      <c r="AL56" s="417">
        <f t="shared" si="27"/>
        <v>0</v>
      </c>
      <c r="AM56" s="417">
        <f t="shared" si="27"/>
        <v>0</v>
      </c>
      <c r="AN56" s="417">
        <f t="shared" si="27"/>
        <v>0</v>
      </c>
      <c r="AO56" s="417">
        <f t="shared" si="27"/>
        <v>0</v>
      </c>
      <c r="AP56" s="417">
        <f t="shared" si="27"/>
        <v>0</v>
      </c>
      <c r="AQ56" s="417">
        <f t="shared" si="27"/>
        <v>0</v>
      </c>
      <c r="AR56" s="417">
        <f t="shared" si="27"/>
        <v>0</v>
      </c>
    </row>
    <row r="57" spans="1:44" x14ac:dyDescent="0.2">
      <c r="A57" s="380"/>
      <c r="B57" s="380"/>
      <c r="C57" s="380"/>
      <c r="D57" s="380"/>
      <c r="E57" s="380"/>
      <c r="F57" s="417"/>
      <c r="G57" s="417"/>
      <c r="H57" s="417"/>
      <c r="I57" s="417"/>
      <c r="J57" s="417"/>
      <c r="K57" s="417"/>
      <c r="L57" s="417"/>
      <c r="M57" s="417"/>
      <c r="N57" s="417"/>
      <c r="O57" s="417"/>
      <c r="P57" s="417"/>
      <c r="Q57" s="417"/>
      <c r="R57" s="417"/>
      <c r="S57" s="417"/>
      <c r="T57" s="417"/>
      <c r="U57" s="417"/>
      <c r="V57" s="417"/>
      <c r="W57" s="417"/>
      <c r="X57" s="417"/>
      <c r="Y57" s="417"/>
      <c r="Z57" s="417"/>
      <c r="AA57" s="417"/>
      <c r="AB57" s="417"/>
      <c r="AC57" s="417"/>
      <c r="AD57" s="417"/>
      <c r="AE57" s="417"/>
      <c r="AF57" s="417"/>
      <c r="AG57" s="417"/>
      <c r="AH57" s="417"/>
      <c r="AI57" s="417"/>
      <c r="AJ57" s="417"/>
      <c r="AK57" s="417"/>
      <c r="AL57" s="417"/>
      <c r="AM57" s="417"/>
      <c r="AN57" s="417"/>
      <c r="AO57" s="417"/>
      <c r="AP57" s="417"/>
      <c r="AQ57" s="417"/>
      <c r="AR57" s="417"/>
    </row>
  </sheetData>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B101D-49ED-4BA3-B8EC-33D6A4E87A9B}">
  <sheetPr>
    <tabColor rgb="FF7030A0"/>
  </sheetPr>
  <dimension ref="B2:AJ71"/>
  <sheetViews>
    <sheetView zoomScale="85" zoomScaleNormal="85" workbookViewId="0">
      <selection activeCell="V17" sqref="V17"/>
    </sheetView>
  </sheetViews>
  <sheetFormatPr defaultRowHeight="15" x14ac:dyDescent="0.25"/>
  <cols>
    <col min="2" max="2" width="48" customWidth="1"/>
    <col min="3" max="3" width="45.28515625" customWidth="1"/>
    <col min="4" max="4" width="39" customWidth="1"/>
    <col min="5" max="5" width="28.7109375" customWidth="1"/>
    <col min="6" max="6" width="16.85546875" customWidth="1"/>
    <col min="7" max="7" width="11.42578125" customWidth="1"/>
    <col min="9" max="9" width="32.7109375" customWidth="1"/>
    <col min="10" max="10" width="20.140625" customWidth="1"/>
    <col min="11" max="11" width="22" customWidth="1"/>
    <col min="12" max="12" width="21.28515625" customWidth="1"/>
    <col min="14" max="14" width="38.85546875" bestFit="1" customWidth="1"/>
    <col min="15" max="15" width="14.42578125" customWidth="1"/>
    <col min="16" max="16" width="12" customWidth="1"/>
    <col min="17" max="17" width="39.28515625" customWidth="1"/>
    <col min="21" max="21" width="27.42578125" bestFit="1" customWidth="1"/>
    <col min="22" max="29" width="9.7109375" customWidth="1"/>
    <col min="30" max="30" width="11.5703125" bestFit="1" customWidth="1"/>
    <col min="32" max="32" width="21.7109375" bestFit="1" customWidth="1"/>
    <col min="33" max="33" width="27.140625" bestFit="1" customWidth="1"/>
    <col min="34" max="36" width="17.42578125" customWidth="1"/>
    <col min="37" max="37" width="13.140625" customWidth="1"/>
  </cols>
  <sheetData>
    <row r="2" spans="2:36" x14ac:dyDescent="0.25">
      <c r="B2" t="s">
        <v>380</v>
      </c>
    </row>
    <row r="3" spans="2:36" ht="52.5" customHeight="1" x14ac:dyDescent="0.25">
      <c r="B3" s="242" t="s">
        <v>381</v>
      </c>
      <c r="C3" s="242" t="s">
        <v>382</v>
      </c>
      <c r="D3" s="242" t="s">
        <v>383</v>
      </c>
      <c r="E3" s="242" t="s">
        <v>384</v>
      </c>
      <c r="F3" s="242" t="s">
        <v>385</v>
      </c>
    </row>
    <row r="4" spans="2:36" ht="45" x14ac:dyDescent="0.25">
      <c r="B4" s="476" t="s">
        <v>386</v>
      </c>
      <c r="C4" s="476" t="s">
        <v>387</v>
      </c>
      <c r="D4" s="243" t="s">
        <v>388</v>
      </c>
      <c r="E4" s="243" t="s">
        <v>389</v>
      </c>
      <c r="F4" s="244">
        <f>Summary!E13</f>
        <v>3.3937703130161587</v>
      </c>
    </row>
    <row r="5" spans="2:36" ht="60" x14ac:dyDescent="0.25">
      <c r="B5" s="476"/>
      <c r="C5" s="476"/>
      <c r="D5" s="243" t="s">
        <v>390</v>
      </c>
      <c r="E5" s="243" t="s">
        <v>391</v>
      </c>
      <c r="F5" s="244">
        <f>Summary!E14</f>
        <v>24.382058165832593</v>
      </c>
    </row>
    <row r="6" spans="2:36" ht="45" x14ac:dyDescent="0.25">
      <c r="B6" s="476"/>
      <c r="C6" s="476"/>
      <c r="D6" s="243" t="s">
        <v>392</v>
      </c>
      <c r="E6" s="243" t="s">
        <v>389</v>
      </c>
      <c r="F6" s="244">
        <f>Summary!E15</f>
        <v>7.9050022530592772</v>
      </c>
    </row>
    <row r="7" spans="2:36" ht="45" x14ac:dyDescent="0.25">
      <c r="B7" s="476"/>
      <c r="C7" s="476"/>
      <c r="D7" s="243" t="s">
        <v>393</v>
      </c>
      <c r="E7" s="243" t="s">
        <v>394</v>
      </c>
      <c r="F7" s="244">
        <f>Summary!E16</f>
        <v>0.20336619250401633</v>
      </c>
    </row>
    <row r="8" spans="2:36" ht="60" x14ac:dyDescent="0.25">
      <c r="B8" s="476"/>
      <c r="C8" s="476"/>
      <c r="D8" s="243" t="s">
        <v>395</v>
      </c>
      <c r="E8" s="243" t="s">
        <v>396</v>
      </c>
      <c r="F8" s="244">
        <f>Summary!E17</f>
        <v>3.5081118678618197</v>
      </c>
    </row>
    <row r="9" spans="2:36" ht="75" x14ac:dyDescent="0.25">
      <c r="B9" s="476"/>
      <c r="C9" s="476"/>
      <c r="D9" s="243" t="s">
        <v>397</v>
      </c>
      <c r="E9" s="243" t="s">
        <v>398</v>
      </c>
      <c r="F9" s="244">
        <f>Summary!E19</f>
        <v>2.3220171476386497E-2</v>
      </c>
    </row>
    <row r="10" spans="2:36" ht="60" x14ac:dyDescent="0.25">
      <c r="B10" s="476"/>
      <c r="C10" s="476"/>
      <c r="D10" s="243" t="s">
        <v>399</v>
      </c>
      <c r="E10" s="243" t="s">
        <v>400</v>
      </c>
      <c r="F10" s="244">
        <f>Summary!E21</f>
        <v>0</v>
      </c>
    </row>
    <row r="11" spans="2:36" x14ac:dyDescent="0.25">
      <c r="B11" s="481" t="s">
        <v>319</v>
      </c>
      <c r="C11" s="481"/>
      <c r="D11" s="481"/>
      <c r="E11" s="481"/>
      <c r="F11" s="245">
        <f>SUM(F4:F10)</f>
        <v>39.415528963750255</v>
      </c>
    </row>
    <row r="12" spans="2:36" x14ac:dyDescent="0.25">
      <c r="B12" s="237"/>
      <c r="C12" s="237"/>
      <c r="D12" s="214"/>
      <c r="E12" s="214"/>
      <c r="F12" s="213"/>
    </row>
    <row r="13" spans="2:36" x14ac:dyDescent="0.25">
      <c r="AG13" t="s">
        <v>401</v>
      </c>
      <c r="AH13">
        <f>Summary!E34</f>
        <v>19.478981100171492</v>
      </c>
      <c r="AJ13" s="64">
        <f>Summary!E9</f>
        <v>1.8138898580989069</v>
      </c>
    </row>
    <row r="14" spans="2:36" x14ac:dyDescent="0.25">
      <c r="I14" s="201" t="s">
        <v>402</v>
      </c>
      <c r="J14" s="200"/>
      <c r="K14" s="200"/>
      <c r="L14" s="200"/>
      <c r="N14" s="201" t="s">
        <v>403</v>
      </c>
      <c r="O14" s="200"/>
      <c r="P14" s="200"/>
      <c r="Q14" s="200"/>
      <c r="AG14" t="s">
        <v>404</v>
      </c>
      <c r="AH14">
        <v>7.0410706654555284</v>
      </c>
      <c r="AJ14">
        <v>1.4816410174706116</v>
      </c>
    </row>
    <row r="15" spans="2:36" ht="29.25" customHeight="1" x14ac:dyDescent="0.25">
      <c r="D15" s="214"/>
      <c r="I15" s="202" t="s">
        <v>405</v>
      </c>
      <c r="J15" s="203" t="s">
        <v>252</v>
      </c>
      <c r="K15" s="203" t="s">
        <v>406</v>
      </c>
      <c r="L15" s="204" t="s">
        <v>407</v>
      </c>
      <c r="N15" s="246" t="str">
        <f>Inputs!C10</f>
        <v>Variable</v>
      </c>
      <c r="O15" s="246" t="str">
        <f>Inputs!D10</f>
        <v>Unit</v>
      </c>
      <c r="P15" s="246" t="str">
        <f>Inputs!E10</f>
        <v>Value</v>
      </c>
      <c r="Q15" s="246" t="str">
        <f>Inputs!F10</f>
        <v xml:space="preserve">Source </v>
      </c>
      <c r="U15" s="478" t="s">
        <v>408</v>
      </c>
      <c r="V15" s="480">
        <f>'REF Traffic'!W3</f>
        <v>2023</v>
      </c>
      <c r="W15" s="480"/>
      <c r="X15" s="480">
        <f>'REF Traffic'!Z3</f>
        <v>2046</v>
      </c>
      <c r="Y15" s="480"/>
      <c r="AA15" s="480" t="s">
        <v>409</v>
      </c>
      <c r="AB15" s="480"/>
      <c r="AC15" s="480"/>
      <c r="AD15" s="246" t="s">
        <v>410</v>
      </c>
      <c r="AF15" s="246" t="s">
        <v>411</v>
      </c>
      <c r="AG15" s="246" t="s">
        <v>412</v>
      </c>
      <c r="AH15" s="246" t="s">
        <v>413</v>
      </c>
      <c r="AI15" s="246" t="s">
        <v>414</v>
      </c>
      <c r="AJ15" s="246" t="s">
        <v>415</v>
      </c>
    </row>
    <row r="16" spans="2:36" x14ac:dyDescent="0.25">
      <c r="I16" s="205" t="s">
        <v>416</v>
      </c>
      <c r="J16" s="207">
        <f>Summary!C22</f>
        <v>67.683605892771965</v>
      </c>
      <c r="K16" s="207">
        <f>Summary!D22</f>
        <v>50.568615710253319</v>
      </c>
      <c r="L16" s="207">
        <f>Summary!E22</f>
        <v>43.412171698799561</v>
      </c>
      <c r="N16" s="215" t="str">
        <f>Inputs!C62</f>
        <v>Non-incapacitating injuries or possible injury</v>
      </c>
      <c r="O16" s="215" t="str">
        <f>Inputs!D62</f>
        <v>Incidents/year</v>
      </c>
      <c r="P16" s="219">
        <f>Inputs!E62</f>
        <v>1.7777777777777777</v>
      </c>
      <c r="Q16" s="215" t="str">
        <f>Inputs!F62</f>
        <v>ODOT Data</v>
      </c>
      <c r="U16" s="479"/>
      <c r="V16" s="246" t="str">
        <f>'REF Traffic'!W4</f>
        <v>AM</v>
      </c>
      <c r="W16" s="246" t="str">
        <f>'REF Traffic'!Y4</f>
        <v>PM</v>
      </c>
      <c r="X16" s="246" t="str">
        <f>'REF Traffic'!Z4</f>
        <v xml:space="preserve">AM </v>
      </c>
      <c r="Y16" s="246" t="str">
        <f>'REF Traffic'!AB4</f>
        <v>PM</v>
      </c>
      <c r="AA16" s="483" t="s">
        <v>417</v>
      </c>
      <c r="AB16" s="484"/>
      <c r="AC16" s="250">
        <v>2023</v>
      </c>
      <c r="AD16" s="482" t="s">
        <v>418</v>
      </c>
      <c r="AF16" s="477" t="s">
        <v>419</v>
      </c>
      <c r="AG16" s="215" t="s">
        <v>420</v>
      </c>
      <c r="AH16" s="239">
        <v>5.3510943868297929</v>
      </c>
      <c r="AI16" s="238">
        <f t="shared" ref="AI16:AI22" si="0">(AH16-$AH$14)/$AH$14</f>
        <v>-0.24001694613249575</v>
      </c>
      <c r="AJ16" s="219">
        <v>1.3660390113251673</v>
      </c>
    </row>
    <row r="17" spans="9:36" x14ac:dyDescent="0.25">
      <c r="I17" s="205" t="s">
        <v>421</v>
      </c>
      <c r="J17" s="208">
        <f>Summary!C20</f>
        <v>3.6161773652176512</v>
      </c>
      <c r="K17" s="208">
        <f>Summary!D20</f>
        <v>2.6119269830089764</v>
      </c>
      <c r="L17" s="209">
        <f>Summary!E20</f>
        <v>2.2031627546660202</v>
      </c>
      <c r="N17" s="215" t="str">
        <f>Inputs!C63</f>
        <v>PDO</v>
      </c>
      <c r="O17" s="215" t="str">
        <f>Inputs!D63</f>
        <v>Incidents/year</v>
      </c>
      <c r="P17" s="219">
        <f>Inputs!E63</f>
        <v>2</v>
      </c>
      <c r="Q17" s="215" t="str">
        <f>Inputs!F63</f>
        <v>ODOT Data</v>
      </c>
      <c r="U17" s="248" t="s">
        <v>132</v>
      </c>
      <c r="V17" s="248">
        <f>'REF Traffic'!W5</f>
        <v>47</v>
      </c>
      <c r="W17" s="248">
        <f>'REF Traffic'!Y5</f>
        <v>44</v>
      </c>
      <c r="X17" s="248">
        <f>'REF Traffic'!Z5</f>
        <v>179</v>
      </c>
      <c r="Y17" s="248">
        <f>'REF Traffic'!AB5</f>
        <v>249</v>
      </c>
      <c r="AA17" s="483" t="s">
        <v>422</v>
      </c>
      <c r="AB17" s="484"/>
      <c r="AC17" s="251">
        <v>68.5</v>
      </c>
      <c r="AD17" s="482"/>
      <c r="AE17" s="234"/>
      <c r="AF17" s="477"/>
      <c r="AG17" s="215" t="s">
        <v>423</v>
      </c>
      <c r="AH17" s="239">
        <v>8.7310469440812639</v>
      </c>
      <c r="AI17" s="238">
        <f t="shared" si="0"/>
        <v>0.24001694613249575</v>
      </c>
      <c r="AJ17" s="219">
        <v>1.5972430236160557</v>
      </c>
    </row>
    <row r="18" spans="9:36" x14ac:dyDescent="0.25">
      <c r="I18" s="205" t="s">
        <v>424</v>
      </c>
      <c r="J18" s="208">
        <f>Summary!C27</f>
        <v>-27.335510498564162</v>
      </c>
      <c r="K18" s="208">
        <f>Summary!D27</f>
        <v>-25.07631834171999</v>
      </c>
      <c r="L18" s="209">
        <f>Summary!E27</f>
        <v>-23.93319059862807</v>
      </c>
      <c r="N18" s="215" t="str">
        <f>Inputs!C64</f>
        <v>Total Crashes</v>
      </c>
      <c r="O18" s="215" t="str">
        <f>Inputs!D64</f>
        <v>Incidents/year</v>
      </c>
      <c r="P18" s="219">
        <f>Inputs!E64</f>
        <v>3.7777777777777777</v>
      </c>
      <c r="Q18" s="215" t="str">
        <f>Inputs!F64</f>
        <v>ODOT Data</v>
      </c>
      <c r="U18" s="248" t="s">
        <v>425</v>
      </c>
      <c r="V18" s="248">
        <f>'REF Traffic'!W6</f>
        <v>27</v>
      </c>
      <c r="W18" s="248">
        <f>'REF Traffic'!Y6</f>
        <v>32</v>
      </c>
      <c r="X18" s="248">
        <f>'REF Traffic'!Z6</f>
        <v>85</v>
      </c>
      <c r="Y18" s="248">
        <f>'REF Traffic'!AB6</f>
        <v>145</v>
      </c>
      <c r="AF18" s="477" t="s">
        <v>426</v>
      </c>
      <c r="AG18" s="215" t="s">
        <v>420</v>
      </c>
      <c r="AH18" s="239">
        <v>5.3510943868297929</v>
      </c>
      <c r="AI18" s="238">
        <f t="shared" si="0"/>
        <v>-0.24001694613249575</v>
      </c>
      <c r="AJ18" s="219">
        <v>1.3660390113251673</v>
      </c>
    </row>
    <row r="19" spans="9:36" x14ac:dyDescent="0.25">
      <c r="I19" s="205" t="s">
        <v>28</v>
      </c>
      <c r="J19" s="206">
        <f>Summary!C34</f>
        <v>40.348095394207803</v>
      </c>
      <c r="K19" s="206">
        <f>Summary!D34</f>
        <v>25.492297368533329</v>
      </c>
      <c r="L19" s="207">
        <f>Summary!E34</f>
        <v>19.478981100171492</v>
      </c>
      <c r="N19" s="215" t="str">
        <f>Inputs!C65</f>
        <v>Base Year</v>
      </c>
      <c r="O19" s="215" t="str">
        <f>Inputs!D65</f>
        <v>year</v>
      </c>
      <c r="P19" s="215">
        <f>Inputs!E65</f>
        <v>2021</v>
      </c>
      <c r="Q19" s="215" t="str">
        <f>Inputs!F65</f>
        <v>ODOT Data</v>
      </c>
      <c r="U19" s="248" t="s">
        <v>427</v>
      </c>
      <c r="V19" s="248">
        <f>'REF Traffic'!W7</f>
        <v>20</v>
      </c>
      <c r="W19" s="248">
        <f>'REF Traffic'!Y7</f>
        <v>12</v>
      </c>
      <c r="X19" s="248">
        <f>'REF Traffic'!Z7</f>
        <v>94</v>
      </c>
      <c r="Y19" s="248">
        <f>'REF Traffic'!AB7</f>
        <v>104</v>
      </c>
      <c r="AF19" s="477"/>
      <c r="AG19" s="215" t="s">
        <v>423</v>
      </c>
      <c r="AH19" s="239">
        <v>8.7310469440812639</v>
      </c>
      <c r="AI19" s="238">
        <f t="shared" si="0"/>
        <v>0.24001694613249575</v>
      </c>
      <c r="AJ19" s="219">
        <v>1.5972430236160557</v>
      </c>
    </row>
    <row r="20" spans="9:36" x14ac:dyDescent="0.25">
      <c r="I20" s="205" t="s">
        <v>428</v>
      </c>
      <c r="J20" s="210">
        <f>Summary!C35</f>
        <v>2.4760322620031974</v>
      </c>
      <c r="K20" s="210">
        <f>Summary!D35</f>
        <v>2.0165885207367649</v>
      </c>
      <c r="L20" s="211">
        <f>Summary!E35</f>
        <v>1.8138898580989069</v>
      </c>
      <c r="N20" s="215" t="str">
        <f>Inputs!C66</f>
        <v>Non-incapacitating injuries or possible injury</v>
      </c>
      <c r="O20" s="215" t="str">
        <f>Inputs!D66</f>
        <v>$/incident</v>
      </c>
      <c r="P20" s="220">
        <f>Inputs!E66</f>
        <v>246900</v>
      </c>
      <c r="Q20" s="215" t="str">
        <f>Inputs!F66</f>
        <v>BCA Guidelines Table A-1</v>
      </c>
      <c r="AF20" s="477" t="s">
        <v>295</v>
      </c>
      <c r="AG20" s="215" t="s">
        <v>420</v>
      </c>
      <c r="AH20" s="239">
        <v>6.8090591716935904</v>
      </c>
      <c r="AI20" s="238">
        <f t="shared" si="0"/>
        <v>-3.2951166773573036E-2</v>
      </c>
      <c r="AJ20" s="219">
        <v>1.465770383978944</v>
      </c>
    </row>
    <row r="21" spans="9:36" x14ac:dyDescent="0.25">
      <c r="I21" s="212" t="s">
        <v>31</v>
      </c>
      <c r="J21" s="473">
        <f>Summary!C37</f>
        <v>8.3516470973174606E-2</v>
      </c>
      <c r="K21" s="474"/>
      <c r="L21" s="475"/>
      <c r="N21" s="215" t="str">
        <f>Inputs!C67</f>
        <v>PDO</v>
      </c>
      <c r="O21" s="215" t="str">
        <f>Inputs!D67</f>
        <v>$/incident</v>
      </c>
      <c r="P21" s="220">
        <f>Inputs!E67</f>
        <v>9500</v>
      </c>
      <c r="Q21" s="215" t="str">
        <f>Inputs!F67</f>
        <v>BCA Guidelines Table A-2</v>
      </c>
      <c r="AF21" s="477"/>
      <c r="AG21" s="215" t="s">
        <v>423</v>
      </c>
      <c r="AH21" s="239">
        <v>7.2730821592174735</v>
      </c>
      <c r="AI21" s="238">
        <f t="shared" si="0"/>
        <v>3.2951166773574042E-2</v>
      </c>
      <c r="AJ21" s="219">
        <v>1.4975116509622795</v>
      </c>
    </row>
    <row r="22" spans="9:36" x14ac:dyDescent="0.25">
      <c r="U22" t="s">
        <v>429</v>
      </c>
      <c r="AF22" s="236" t="s">
        <v>241</v>
      </c>
      <c r="AG22" s="215" t="s">
        <v>430</v>
      </c>
      <c r="AH22" s="239">
        <v>12.195960856807847</v>
      </c>
      <c r="AI22" s="238">
        <f t="shared" si="0"/>
        <v>0.73211737763731399</v>
      </c>
      <c r="AJ22" s="219">
        <v>1.8342587761437634</v>
      </c>
    </row>
    <row r="23" spans="9:36" x14ac:dyDescent="0.25">
      <c r="U23" s="380" t="s">
        <v>431</v>
      </c>
      <c r="V23" s="408">
        <f>('Time Savings'!AH$61-'Time Savings'!AH$98)*'Time Savings'!AH$11*'Time Savings'!AH15</f>
        <v>0</v>
      </c>
      <c r="W23" s="445">
        <f>V23/'Time Savings'!$AH$105</f>
        <v>0</v>
      </c>
      <c r="AF23" s="477" t="s">
        <v>24</v>
      </c>
      <c r="AG23" s="215" t="s">
        <v>420</v>
      </c>
      <c r="AH23" s="239">
        <v>9.971087043463422</v>
      </c>
      <c r="AI23" s="238">
        <f t="shared" ref="AI23:AI24" si="1">(AH23-$AH$14)/$AH$14</f>
        <v>0.416132221535989</v>
      </c>
      <c r="AJ23" s="219">
        <v>1.8530388177982002</v>
      </c>
    </row>
    <row r="24" spans="9:36" x14ac:dyDescent="0.25">
      <c r="I24" s="201" t="s">
        <v>432</v>
      </c>
      <c r="J24" s="200"/>
      <c r="K24" s="200"/>
      <c r="L24" s="200"/>
      <c r="U24" s="380" t="s">
        <v>433</v>
      </c>
      <c r="V24" s="408">
        <f>('Time Savings'!AH$48-'Time Savings'!AH$86)*'Time Savings'!AH$11*'Time Savings'!AH15</f>
        <v>2936718.6060000048</v>
      </c>
      <c r="W24" s="445">
        <f>V24/'Time Savings'!$AH$105</f>
        <v>1</v>
      </c>
      <c r="AF24" s="477"/>
      <c r="AG24" s="215" t="s">
        <v>423</v>
      </c>
      <c r="AH24" s="239">
        <v>4.1110542874476366</v>
      </c>
      <c r="AI24" s="238">
        <f t="shared" si="1"/>
        <v>-0.41613222153598878</v>
      </c>
      <c r="AJ24" s="219">
        <v>1.2342623282871206</v>
      </c>
    </row>
    <row r="25" spans="9:36" ht="28.5" x14ac:dyDescent="0.25">
      <c r="I25" s="246" t="s">
        <v>434</v>
      </c>
      <c r="J25" s="247" t="s">
        <v>252</v>
      </c>
      <c r="K25" s="247" t="s">
        <v>406</v>
      </c>
      <c r="L25" s="247" t="s">
        <v>407</v>
      </c>
    </row>
    <row r="26" spans="9:36" x14ac:dyDescent="0.25">
      <c r="I26" s="215" t="str">
        <f>Summary!B27</f>
        <v>Capital Cost</v>
      </c>
      <c r="J26" s="241">
        <f>-Summary!C27</f>
        <v>27.335510498564162</v>
      </c>
      <c r="K26" s="241">
        <f>-Summary!D27</f>
        <v>25.07631834171999</v>
      </c>
      <c r="L26" s="241">
        <f>-Summary!E27</f>
        <v>23.93319059862807</v>
      </c>
    </row>
    <row r="27" spans="9:36" x14ac:dyDescent="0.25">
      <c r="I27" s="215" t="s">
        <v>435</v>
      </c>
      <c r="J27" s="241">
        <f>-Summary!C20</f>
        <v>-3.6161773652176512</v>
      </c>
      <c r="K27" s="241">
        <f>-Summary!D20</f>
        <v>-2.6119269830089764</v>
      </c>
      <c r="L27" s="241">
        <f>-Summary!E20</f>
        <v>-2.2031627546660202</v>
      </c>
    </row>
    <row r="28" spans="9:36" x14ac:dyDescent="0.25">
      <c r="I28" s="216" t="s">
        <v>34</v>
      </c>
      <c r="J28" s="218">
        <f>SUM(J26:J27)</f>
        <v>23.71933313334651</v>
      </c>
      <c r="K28" s="218">
        <f>SUM(K26:K27)</f>
        <v>22.464391358711012</v>
      </c>
      <c r="L28" s="218">
        <f>SUM(L26:L27)</f>
        <v>21.730027843962048</v>
      </c>
    </row>
    <row r="30" spans="9:36" x14ac:dyDescent="0.25">
      <c r="I30" s="201" t="s">
        <v>436</v>
      </c>
      <c r="J30" s="200"/>
      <c r="K30" s="200"/>
      <c r="L30" s="200"/>
    </row>
    <row r="31" spans="9:36" ht="28.5" x14ac:dyDescent="0.25">
      <c r="I31" s="246" t="s">
        <v>405</v>
      </c>
      <c r="J31" s="247" t="s">
        <v>252</v>
      </c>
      <c r="K31" s="247" t="s">
        <v>406</v>
      </c>
      <c r="L31" s="247" t="s">
        <v>407</v>
      </c>
      <c r="AG31" s="235" t="s">
        <v>412</v>
      </c>
      <c r="AH31" s="235" t="s">
        <v>413</v>
      </c>
      <c r="AI31" s="235" t="s">
        <v>414</v>
      </c>
      <c r="AJ31" s="235" t="s">
        <v>415</v>
      </c>
    </row>
    <row r="32" spans="9:36" x14ac:dyDescent="0.25">
      <c r="I32" s="215" t="str">
        <f>Summary!B13</f>
        <v>Safety Benefits</v>
      </c>
      <c r="J32" s="241">
        <f>Summary!C13</f>
        <v>5.0914710204081661</v>
      </c>
      <c r="K32" s="241">
        <f>Summary!D13</f>
        <v>3.8998548260711581</v>
      </c>
      <c r="L32" s="241">
        <f>Summary!E13</f>
        <v>3.3937703130161587</v>
      </c>
      <c r="AG32" s="215" t="s">
        <v>221</v>
      </c>
      <c r="AH32" s="239" t="s">
        <v>222</v>
      </c>
      <c r="AI32" s="238">
        <v>10</v>
      </c>
      <c r="AJ32" s="219">
        <v>1.3660390113251673</v>
      </c>
    </row>
    <row r="33" spans="9:36" x14ac:dyDescent="0.25">
      <c r="I33" s="215" t="str">
        <f>Summary!B14</f>
        <v xml:space="preserve">Travel Time </v>
      </c>
      <c r="J33" s="241">
        <f>Summary!C14</f>
        <v>38.411912133695687</v>
      </c>
      <c r="K33" s="241">
        <f>Summary!D14</f>
        <v>28.510830055865796</v>
      </c>
      <c r="L33" s="241">
        <f>Summary!E14</f>
        <v>24.382058165832593</v>
      </c>
      <c r="AG33" s="215" t="s">
        <v>224</v>
      </c>
      <c r="AH33" s="239" t="s">
        <v>225</v>
      </c>
      <c r="AI33" s="238">
        <v>4</v>
      </c>
      <c r="AJ33" s="219">
        <v>1.5972430236160557</v>
      </c>
    </row>
    <row r="34" spans="9:36" x14ac:dyDescent="0.25">
      <c r="I34" s="215" t="str">
        <f>Summary!B15</f>
        <v>Reduced Vehicle Operating Costs</v>
      </c>
      <c r="J34" s="241">
        <f>Summary!C15</f>
        <v>12.206204871929893</v>
      </c>
      <c r="K34" s="241">
        <f>Summary!D15</f>
        <v>9.176941572627765</v>
      </c>
      <c r="L34" s="241">
        <f>Summary!E15</f>
        <v>7.9050022530592772</v>
      </c>
      <c r="AG34" s="215" t="s">
        <v>226</v>
      </c>
      <c r="AH34" s="239" t="s">
        <v>222</v>
      </c>
      <c r="AI34" s="238">
        <v>276</v>
      </c>
      <c r="AJ34" s="219">
        <v>1.3660390113251673</v>
      </c>
    </row>
    <row r="35" spans="9:36" x14ac:dyDescent="0.25">
      <c r="I35" s="215" t="str">
        <f>Summary!B16</f>
        <v>Emissions Reduction*</v>
      </c>
      <c r="J35" s="241">
        <f>Summary!C16</f>
        <v>0.31604422616860189</v>
      </c>
      <c r="K35" s="241">
        <f>Summary!D16</f>
        <v>0.23499383672462071</v>
      </c>
      <c r="L35" s="241">
        <f>Summary!E16</f>
        <v>0.20336619250401633</v>
      </c>
      <c r="N35" s="201" t="s">
        <v>20</v>
      </c>
      <c r="AG35" s="215" t="s">
        <v>227</v>
      </c>
      <c r="AH35" s="239" t="s">
        <v>228</v>
      </c>
      <c r="AI35" s="238">
        <v>3.6231884057971016E-2</v>
      </c>
      <c r="AJ35" s="219">
        <v>1.5972430236160557</v>
      </c>
    </row>
    <row r="36" spans="9:36" x14ac:dyDescent="0.25">
      <c r="I36" s="215" t="str">
        <f>Summary!B17</f>
        <v>Pedestrian / Cycling Improvements</v>
      </c>
      <c r="J36" s="241">
        <f>Summary!C17</f>
        <v>5.2860756813091259</v>
      </c>
      <c r="K36" s="241">
        <f>Summary!D17</f>
        <v>4.03789599510357</v>
      </c>
      <c r="L36" s="241">
        <f>Summary!E17</f>
        <v>3.5081118678618197</v>
      </c>
      <c r="N36" s="246" t="s">
        <v>47</v>
      </c>
      <c r="O36" s="246" t="s">
        <v>48</v>
      </c>
      <c r="P36" s="246" t="s">
        <v>49</v>
      </c>
      <c r="Q36" s="246" t="s">
        <v>437</v>
      </c>
      <c r="U36" s="110" t="s">
        <v>438</v>
      </c>
      <c r="AG36" s="215" t="s">
        <v>227</v>
      </c>
      <c r="AH36" s="239" t="s">
        <v>229</v>
      </c>
      <c r="AI36" s="238">
        <v>9.057971014492754E-3</v>
      </c>
      <c r="AJ36" s="219">
        <v>1.465770383978944</v>
      </c>
    </row>
    <row r="37" spans="9:36" x14ac:dyDescent="0.25">
      <c r="I37" s="215" t="str">
        <f>Summary!B19</f>
        <v>Reduced Bridge Hits</v>
      </c>
      <c r="J37" s="241">
        <f>Summary!C19</f>
        <v>3.4526203842844203E-2</v>
      </c>
      <c r="K37" s="241">
        <f>Summary!D19</f>
        <v>2.6599541314155182E-2</v>
      </c>
      <c r="L37" s="241">
        <f>Summary!E19</f>
        <v>2.3220171476386497E-2</v>
      </c>
      <c r="N37" s="215" t="str">
        <f>Inputs!C38</f>
        <v>Project Bridge Cost (for Residual Life calculation)</v>
      </c>
      <c r="O37" s="215" t="str">
        <f>Inputs!D38</f>
        <v>$</v>
      </c>
      <c r="P37" s="220">
        <f>Inputs!E38</f>
        <v>7022864.7404078525</v>
      </c>
      <c r="Q37" s="215" t="str">
        <f>Inputs!F38</f>
        <v>Bridge Costs Provided from ODOT</v>
      </c>
      <c r="U37" s="480" t="s">
        <v>439</v>
      </c>
      <c r="V37" s="480">
        <v>2023</v>
      </c>
      <c r="W37" s="480"/>
      <c r="X37" s="480">
        <v>2046</v>
      </c>
      <c r="Y37" s="480"/>
      <c r="AG37" s="215" t="s">
        <v>230</v>
      </c>
      <c r="AH37" s="239" t="s">
        <v>86</v>
      </c>
      <c r="AI37" s="238">
        <v>0</v>
      </c>
      <c r="AJ37" s="219">
        <v>1.4975116509622795</v>
      </c>
    </row>
    <row r="38" spans="9:36" x14ac:dyDescent="0.25">
      <c r="I38" s="215" t="str">
        <f>Summary!B21</f>
        <v>Residual Value</v>
      </c>
      <c r="J38" s="241">
        <f>Summary!C21</f>
        <v>0</v>
      </c>
      <c r="K38" s="241">
        <f>Summary!D21</f>
        <v>0</v>
      </c>
      <c r="L38" s="241">
        <f>Summary!E21</f>
        <v>0</v>
      </c>
      <c r="N38" s="215" t="str">
        <f>Inputs!C39</f>
        <v>Useful Life</v>
      </c>
      <c r="O38" s="215" t="str">
        <f>Inputs!D39</f>
        <v>Years</v>
      </c>
      <c r="P38" s="215">
        <f>Inputs!E39</f>
        <v>20</v>
      </c>
      <c r="Q38" s="215" t="str">
        <f>Inputs!F39</f>
        <v>Design life provided by ODOT</v>
      </c>
      <c r="U38" s="480"/>
      <c r="V38" s="480"/>
      <c r="W38" s="480"/>
      <c r="X38" s="480"/>
      <c r="Y38" s="480"/>
      <c r="AG38" s="215" t="s">
        <v>232</v>
      </c>
      <c r="AH38" s="239" t="s">
        <v>86</v>
      </c>
      <c r="AI38" s="238">
        <v>165985.14000000001</v>
      </c>
      <c r="AJ38" s="219">
        <v>1.8342587761437634</v>
      </c>
    </row>
    <row r="39" spans="9:36" x14ac:dyDescent="0.25">
      <c r="I39" s="216" t="str">
        <f>Summary!B22</f>
        <v>Present Value of Benefit (Cost)</v>
      </c>
      <c r="J39" s="217">
        <f>Summary!C22</f>
        <v>67.683605892771965</v>
      </c>
      <c r="K39" s="217">
        <f>Summary!D22</f>
        <v>50.568615710253319</v>
      </c>
      <c r="L39" s="217">
        <f>Summary!E22</f>
        <v>43.412171698799561</v>
      </c>
      <c r="N39" s="215" t="str">
        <f>Inputs!C40</f>
        <v>Existing Asset Useful Value</v>
      </c>
      <c r="O39" s="215" t="str">
        <f>Inputs!D40</f>
        <v>$</v>
      </c>
      <c r="P39" s="220">
        <f>Inputs!E40</f>
        <v>0</v>
      </c>
      <c r="Q39" s="215" t="str">
        <f>Inputs!F40</f>
        <v>ODOT Provided</v>
      </c>
      <c r="U39" s="480"/>
      <c r="V39" s="480" t="s">
        <v>440</v>
      </c>
      <c r="W39" s="480" t="s">
        <v>441</v>
      </c>
      <c r="X39" s="480" t="s">
        <v>442</v>
      </c>
      <c r="Y39" s="480" t="s">
        <v>441</v>
      </c>
      <c r="AG39" s="215" t="s">
        <v>233</v>
      </c>
      <c r="AH39" s="215" t="s">
        <v>122</v>
      </c>
      <c r="AI39" s="215">
        <v>165985.14000000001</v>
      </c>
    </row>
    <row r="40" spans="9:36" x14ac:dyDescent="0.25">
      <c r="U40" s="248" t="s">
        <v>132</v>
      </c>
      <c r="V40" s="252">
        <v>116</v>
      </c>
      <c r="W40" s="252">
        <v>114</v>
      </c>
      <c r="X40" s="252">
        <v>253</v>
      </c>
      <c r="Y40" s="252">
        <v>308</v>
      </c>
    </row>
    <row r="41" spans="9:36" x14ac:dyDescent="0.25">
      <c r="M41" s="380"/>
      <c r="N41" s="201" t="s">
        <v>443</v>
      </c>
      <c r="U41" s="248" t="s">
        <v>425</v>
      </c>
      <c r="V41" s="252">
        <v>94</v>
      </c>
      <c r="W41" s="252">
        <v>102</v>
      </c>
      <c r="X41" s="252">
        <v>174</v>
      </c>
      <c r="Y41" s="252">
        <v>225</v>
      </c>
    </row>
    <row r="42" spans="9:36" x14ac:dyDescent="0.25">
      <c r="N42" s="246" t="s">
        <v>47</v>
      </c>
      <c r="O42" s="246" t="s">
        <v>48</v>
      </c>
      <c r="P42" s="246" t="s">
        <v>49</v>
      </c>
      <c r="Q42" s="246" t="s">
        <v>437</v>
      </c>
      <c r="U42" s="248" t="s">
        <v>427</v>
      </c>
      <c r="V42" s="252">
        <f>V40-V41</f>
        <v>22</v>
      </c>
      <c r="W42" s="252">
        <f>W40-W41</f>
        <v>12</v>
      </c>
      <c r="X42" s="252">
        <f>X40-X41</f>
        <v>79</v>
      </c>
      <c r="Y42" s="252">
        <f>Y40-Y41</f>
        <v>83</v>
      </c>
    </row>
    <row r="43" spans="9:36" x14ac:dyDescent="0.25">
      <c r="N43" s="215" t="s">
        <v>94</v>
      </c>
      <c r="O43" s="215" t="s">
        <v>95</v>
      </c>
      <c r="P43" s="241">
        <v>12</v>
      </c>
      <c r="Q43" s="215" t="s">
        <v>96</v>
      </c>
    </row>
    <row r="44" spans="9:36" x14ac:dyDescent="0.25">
      <c r="N44" s="215" t="s">
        <v>97</v>
      </c>
      <c r="O44" s="215" t="s">
        <v>98</v>
      </c>
      <c r="P44" s="215">
        <v>8</v>
      </c>
      <c r="Q44" s="215" t="s">
        <v>96</v>
      </c>
    </row>
    <row r="45" spans="9:36" x14ac:dyDescent="0.25">
      <c r="N45" s="215" t="s">
        <v>99</v>
      </c>
      <c r="O45" s="215" t="s">
        <v>98</v>
      </c>
      <c r="P45" s="215">
        <v>4</v>
      </c>
      <c r="Q45" s="215" t="s">
        <v>96</v>
      </c>
      <c r="U45" s="110" t="s">
        <v>444</v>
      </c>
    </row>
    <row r="46" spans="9:36" ht="15.75" customHeight="1" x14ac:dyDescent="0.25">
      <c r="N46" s="215" t="s">
        <v>100</v>
      </c>
      <c r="O46" s="215" t="s">
        <v>101</v>
      </c>
      <c r="P46" s="219">
        <v>0.53030303030303028</v>
      </c>
      <c r="Q46" s="215" t="s">
        <v>96</v>
      </c>
      <c r="U46" s="480" t="s">
        <v>445</v>
      </c>
      <c r="V46" s="480">
        <v>2023</v>
      </c>
      <c r="W46" s="480"/>
      <c r="X46" s="480"/>
      <c r="Y46" s="480"/>
      <c r="Z46" s="480">
        <v>2046</v>
      </c>
      <c r="AA46" s="480"/>
      <c r="AB46" s="480"/>
      <c r="AC46" s="480"/>
    </row>
    <row r="47" spans="9:36" x14ac:dyDescent="0.25">
      <c r="U47" s="480"/>
      <c r="V47" s="480" t="s">
        <v>440</v>
      </c>
      <c r="W47" s="480"/>
      <c r="X47" s="480" t="s">
        <v>441</v>
      </c>
      <c r="Y47" s="480"/>
      <c r="Z47" s="480" t="s">
        <v>440</v>
      </c>
      <c r="AA47" s="480"/>
      <c r="AB47" s="480" t="s">
        <v>441</v>
      </c>
      <c r="AC47" s="480"/>
    </row>
    <row r="48" spans="9:36" x14ac:dyDescent="0.25">
      <c r="U48" s="480"/>
      <c r="V48" s="254" t="s">
        <v>446</v>
      </c>
      <c r="W48" s="254" t="s">
        <v>425</v>
      </c>
      <c r="X48" s="254" t="s">
        <v>446</v>
      </c>
      <c r="Y48" s="254" t="s">
        <v>425</v>
      </c>
      <c r="Z48" s="254" t="s">
        <v>446</v>
      </c>
      <c r="AA48" s="254" t="s">
        <v>425</v>
      </c>
      <c r="AB48" s="254" t="s">
        <v>446</v>
      </c>
      <c r="AC48" s="254" t="s">
        <v>425</v>
      </c>
    </row>
    <row r="49" spans="14:29" ht="16.5" x14ac:dyDescent="0.25">
      <c r="N49" s="201" t="s">
        <v>220</v>
      </c>
      <c r="U49" s="253" t="s">
        <v>447</v>
      </c>
      <c r="V49" s="249">
        <v>8.08</v>
      </c>
      <c r="W49" s="249">
        <v>6.6</v>
      </c>
      <c r="X49" s="249">
        <v>7.97</v>
      </c>
      <c r="Y49" s="249">
        <v>7.13</v>
      </c>
      <c r="Z49" s="249">
        <v>17.7</v>
      </c>
      <c r="AA49" s="249">
        <v>12.19</v>
      </c>
      <c r="AB49" s="249">
        <v>21.54</v>
      </c>
      <c r="AC49" s="249">
        <v>15.74</v>
      </c>
    </row>
    <row r="50" spans="14:29" ht="16.5" x14ac:dyDescent="0.25">
      <c r="N50" s="246" t="s">
        <v>47</v>
      </c>
      <c r="O50" s="246" t="s">
        <v>48</v>
      </c>
      <c r="P50" s="246" t="s">
        <v>49</v>
      </c>
      <c r="Q50" s="246" t="s">
        <v>437</v>
      </c>
      <c r="U50" s="253" t="s">
        <v>448</v>
      </c>
      <c r="V50" s="249">
        <v>1.57</v>
      </c>
      <c r="W50" s="249">
        <v>1.28</v>
      </c>
      <c r="X50" s="249">
        <v>1.55</v>
      </c>
      <c r="Y50" s="249">
        <v>1.39</v>
      </c>
      <c r="Z50" s="249">
        <v>3.44</v>
      </c>
      <c r="AA50" s="249">
        <v>2.37</v>
      </c>
      <c r="AB50" s="249">
        <v>4.1900000000000004</v>
      </c>
      <c r="AC50" s="249">
        <v>3.06</v>
      </c>
    </row>
    <row r="51" spans="14:29" x14ac:dyDescent="0.25">
      <c r="N51" s="240" t="str">
        <f>Inputs!C167</f>
        <v>Number of Bridge Hits in District 8</v>
      </c>
      <c r="O51" s="240" t="str">
        <f>Inputs!D167</f>
        <v>count</v>
      </c>
      <c r="P51" s="240">
        <f>Inputs!E167</f>
        <v>10</v>
      </c>
      <c r="Q51" s="240" t="s">
        <v>418</v>
      </c>
      <c r="U51" s="249" t="s">
        <v>449</v>
      </c>
      <c r="V51" s="249">
        <v>1.87</v>
      </c>
      <c r="W51" s="249">
        <v>1.53</v>
      </c>
      <c r="X51" s="249">
        <v>1.85</v>
      </c>
      <c r="Y51" s="249">
        <v>1.65</v>
      </c>
      <c r="Z51" s="249">
        <v>4.0999999999999996</v>
      </c>
      <c r="AA51" s="249">
        <v>2.83</v>
      </c>
      <c r="AB51" s="249">
        <v>4.99</v>
      </c>
      <c r="AC51" s="249">
        <v>3.64</v>
      </c>
    </row>
    <row r="52" spans="14:29" x14ac:dyDescent="0.25">
      <c r="N52" s="240" t="str">
        <f>Inputs!C168</f>
        <v>Perdiod of Bridge Hits Analyzed</v>
      </c>
      <c r="O52" s="240" t="str">
        <f>Inputs!D168</f>
        <v>years</v>
      </c>
      <c r="P52" s="240">
        <f>Inputs!E168</f>
        <v>4</v>
      </c>
      <c r="Q52" s="240" t="s">
        <v>418</v>
      </c>
    </row>
    <row r="53" spans="14:29" ht="30" x14ac:dyDescent="0.25">
      <c r="N53" s="240" t="str">
        <f>Inputs!C169</f>
        <v>Number of Low Clearance Bridge in District 8</v>
      </c>
      <c r="O53" s="240" t="str">
        <f>Inputs!D169</f>
        <v>count</v>
      </c>
      <c r="P53" s="240">
        <f>Inputs!E169</f>
        <v>276</v>
      </c>
      <c r="Q53" s="240" t="s">
        <v>418</v>
      </c>
    </row>
    <row r="54" spans="14:29" ht="30" x14ac:dyDescent="0.25">
      <c r="N54" s="240" t="str">
        <f>Inputs!C170</f>
        <v>Probability of Bridge Hit</v>
      </c>
      <c r="O54" s="240" t="str">
        <f>Inputs!D170</f>
        <v>incidents / Period</v>
      </c>
      <c r="P54" s="255">
        <f>Inputs!E170</f>
        <v>3.6231884057971016E-2</v>
      </c>
      <c r="Q54" s="240" t="str">
        <f>Inputs!F170</f>
        <v>Calculation</v>
      </c>
    </row>
    <row r="55" spans="14:29" x14ac:dyDescent="0.25">
      <c r="N55" s="240" t="str">
        <f>Inputs!C171</f>
        <v>Probability of Bridge Hit</v>
      </c>
      <c r="O55" s="240" t="str">
        <f>Inputs!D171</f>
        <v>incidents / year</v>
      </c>
      <c r="P55" s="255">
        <f>Inputs!E171</f>
        <v>9.057971014492754E-3</v>
      </c>
      <c r="Q55" s="240" t="str">
        <f>Inputs!F171</f>
        <v>Calculation</v>
      </c>
    </row>
    <row r="56" spans="14:29" ht="30" x14ac:dyDescent="0.25">
      <c r="N56" s="240" t="str">
        <f>Inputs!C172</f>
        <v>Bridge Replacement Cost</v>
      </c>
      <c r="O56" s="240" t="str">
        <f>Inputs!D172</f>
        <v>$</v>
      </c>
      <c r="P56" s="256">
        <f>Inputs!E172</f>
        <v>0</v>
      </c>
      <c r="Q56" s="240" t="str">
        <f>Inputs!F172</f>
        <v>Full bridge replacement related bridge hit not assumed realistic</v>
      </c>
    </row>
    <row r="57" spans="14:29" x14ac:dyDescent="0.25">
      <c r="N57" s="240" t="str">
        <f>Inputs!C173</f>
        <v>Average bridge damage per hit</v>
      </c>
      <c r="O57" s="240" t="str">
        <f>Inputs!D173</f>
        <v>$</v>
      </c>
      <c r="P57" s="257">
        <f>Inputs!E173</f>
        <v>190584.64521249998</v>
      </c>
      <c r="Q57" s="240" t="s">
        <v>418</v>
      </c>
    </row>
    <row r="58" spans="14:29" x14ac:dyDescent="0.25">
      <c r="N58" s="240" t="str">
        <f>Inputs!C174</f>
        <v>Total cost of bridge hit</v>
      </c>
      <c r="O58" s="240" t="str">
        <f>Inputs!D174</f>
        <v>$/incident</v>
      </c>
      <c r="P58" s="257">
        <f>Inputs!E174</f>
        <v>190584.64521249998</v>
      </c>
      <c r="Q58" s="240" t="str">
        <f>Inputs!F174</f>
        <v>Calculation</v>
      </c>
    </row>
    <row r="61" spans="14:29" x14ac:dyDescent="0.25">
      <c r="N61" s="201" t="s">
        <v>450</v>
      </c>
    </row>
    <row r="62" spans="14:29" x14ac:dyDescent="0.25">
      <c r="N62" s="246" t="s">
        <v>47</v>
      </c>
      <c r="O62" s="246" t="s">
        <v>48</v>
      </c>
      <c r="P62" s="246" t="s">
        <v>49</v>
      </c>
      <c r="Q62" s="246" t="s">
        <v>437</v>
      </c>
    </row>
    <row r="63" spans="14:29" x14ac:dyDescent="0.25">
      <c r="N63" s="240" t="str">
        <f>Inputs!C72</f>
        <v>Current ped path length</v>
      </c>
      <c r="O63" s="240" t="str">
        <f>Inputs!D72</f>
        <v>miles</v>
      </c>
      <c r="P63" s="260">
        <f>Inputs!E72</f>
        <v>0.26515151515151514</v>
      </c>
      <c r="Q63" s="240" t="str">
        <f>Inputs!F72</f>
        <v>Existing</v>
      </c>
    </row>
    <row r="64" spans="14:29" x14ac:dyDescent="0.25">
      <c r="N64" s="240" t="str">
        <f>Inputs!C73</f>
        <v>Proposed ped path length</v>
      </c>
      <c r="O64" s="240" t="str">
        <f>Inputs!D73</f>
        <v>miles</v>
      </c>
      <c r="P64" s="260">
        <f>Inputs!E73</f>
        <v>0.26515151515151514</v>
      </c>
      <c r="Q64" s="240" t="str">
        <f>Inputs!F73</f>
        <v>Based on project 60% design plans</v>
      </c>
    </row>
    <row r="65" spans="14:17" x14ac:dyDescent="0.25">
      <c r="N65" s="240" t="str">
        <f>Inputs!C74</f>
        <v>Pedestrian Speed</v>
      </c>
      <c r="O65" s="240" t="str">
        <f>Inputs!D74</f>
        <v>miles per hour</v>
      </c>
      <c r="P65" s="260">
        <f>Inputs!E74</f>
        <v>3.2</v>
      </c>
      <c r="Q65" s="240" t="str">
        <f>Inputs!F74</f>
        <v>BCA Guidelines Table A-8, note 1</v>
      </c>
    </row>
    <row r="66" spans="14:17" x14ac:dyDescent="0.25">
      <c r="N66" s="240" t="s">
        <v>451</v>
      </c>
      <c r="O66" s="240" t="str">
        <f>Inputs!D79</f>
        <v>$/person/hr</v>
      </c>
      <c r="P66" s="256" t="e">
        <f>Inputs!#REF!</f>
        <v>#REF!</v>
      </c>
      <c r="Q66" s="240" t="str">
        <f>Inputs!F79</f>
        <v>BCA Guidelines Table A-3</v>
      </c>
    </row>
    <row r="68" spans="14:17" x14ac:dyDescent="0.25">
      <c r="N68" s="201" t="s">
        <v>452</v>
      </c>
    </row>
    <row r="69" spans="14:17" x14ac:dyDescent="0.25">
      <c r="N69" s="246" t="s">
        <v>47</v>
      </c>
      <c r="O69" s="246" t="s">
        <v>48</v>
      </c>
      <c r="P69" s="246" t="s">
        <v>49</v>
      </c>
      <c r="Q69" s="246" t="s">
        <v>437</v>
      </c>
    </row>
    <row r="70" spans="14:17" x14ac:dyDescent="0.25">
      <c r="N70" s="240" t="str">
        <f>Inputs!C78</f>
        <v>All Purposes</v>
      </c>
      <c r="O70" s="240" t="str">
        <f>Inputs!D78</f>
        <v>$/person/hr</v>
      </c>
      <c r="P70" s="240">
        <f>Inputs!E78</f>
        <v>21.1</v>
      </c>
      <c r="Q70" s="240" t="str">
        <f>Inputs!F78</f>
        <v>BCA Guidelines Table A-3</v>
      </c>
    </row>
    <row r="71" spans="14:17" x14ac:dyDescent="0.25">
      <c r="N71" s="240" t="str">
        <f>Inputs!C88</f>
        <v>Passenger Vehicles All Travel</v>
      </c>
      <c r="O71" s="240" t="str">
        <f>Inputs!D88</f>
        <v>per/veh</v>
      </c>
      <c r="P71" s="240">
        <f>Inputs!E88</f>
        <v>1.52</v>
      </c>
      <c r="Q71" s="240" t="str">
        <f>Inputs!F88</f>
        <v>BCA Guidelines Table A-4</v>
      </c>
    </row>
  </sheetData>
  <mergeCells count="27">
    <mergeCell ref="AF23:AF24"/>
    <mergeCell ref="AB47:AC47"/>
    <mergeCell ref="Z46:AC46"/>
    <mergeCell ref="U37:U39"/>
    <mergeCell ref="V37:W38"/>
    <mergeCell ref="X37:Y38"/>
    <mergeCell ref="V39:W39"/>
    <mergeCell ref="X39:Y39"/>
    <mergeCell ref="U46:U48"/>
    <mergeCell ref="V46:Y46"/>
    <mergeCell ref="V47:W47"/>
    <mergeCell ref="X47:Y47"/>
    <mergeCell ref="Z47:AA47"/>
    <mergeCell ref="J21:L21"/>
    <mergeCell ref="C4:C10"/>
    <mergeCell ref="B4:B10"/>
    <mergeCell ref="AF18:AF19"/>
    <mergeCell ref="AF20:AF21"/>
    <mergeCell ref="U15:U16"/>
    <mergeCell ref="V15:W15"/>
    <mergeCell ref="X15:Y15"/>
    <mergeCell ref="AA15:AC15"/>
    <mergeCell ref="AF16:AF17"/>
    <mergeCell ref="B11:E11"/>
    <mergeCell ref="AD16:AD17"/>
    <mergeCell ref="AA16:AB16"/>
    <mergeCell ref="AA17:AB17"/>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7D24-3D04-432E-A18B-4FB851415559}">
  <sheetPr>
    <tabColor theme="6"/>
  </sheetPr>
  <dimension ref="A1"/>
  <sheetViews>
    <sheetView workbookViewId="0"/>
  </sheetViews>
  <sheetFormatPr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1FFE0-8321-4B4D-8FE7-8B1E310FC3C8}">
  <sheetPr>
    <tabColor theme="2" tint="-0.249977111117893"/>
  </sheetPr>
  <dimension ref="B1:J242"/>
  <sheetViews>
    <sheetView workbookViewId="0">
      <pane xSplit="1" ySplit="3" topLeftCell="B4" activePane="bottomRight" state="frozen"/>
      <selection pane="topRight" activeCell="B1" sqref="B1"/>
      <selection pane="bottomLeft" activeCell="A4" sqref="A4"/>
      <selection pane="bottomRight" activeCell="B2" sqref="B2"/>
    </sheetView>
  </sheetViews>
  <sheetFormatPr defaultColWidth="9.140625" defaultRowHeight="12.75" x14ac:dyDescent="0.25"/>
  <cols>
    <col min="1" max="1" width="4.42578125" style="12" customWidth="1"/>
    <col min="2" max="2" width="47.5703125" style="12" customWidth="1"/>
    <col min="3" max="7" width="23" style="12" customWidth="1"/>
    <col min="8" max="16384" width="9.140625" style="12"/>
  </cols>
  <sheetData>
    <row r="1" spans="2:10" ht="21" x14ac:dyDescent="0.35">
      <c r="B1" s="269" t="s">
        <v>453</v>
      </c>
      <c r="C1" s="270"/>
      <c r="D1" s="270"/>
      <c r="E1" s="270"/>
      <c r="F1" s="283"/>
      <c r="G1" s="283"/>
      <c r="I1" s="358" t="s">
        <v>259</v>
      </c>
      <c r="J1" s="359">
        <f>Summary!$E$9</f>
        <v>1.8138898580989069</v>
      </c>
    </row>
    <row r="2" spans="2:10" ht="15" x14ac:dyDescent="0.25">
      <c r="B2" s="314" t="s">
        <v>454</v>
      </c>
      <c r="C2" s="314"/>
      <c r="D2" s="314"/>
      <c r="E2" s="314"/>
      <c r="F2" s="314"/>
      <c r="G2" s="273"/>
    </row>
    <row r="3" spans="2:10" ht="15" x14ac:dyDescent="0.25">
      <c r="B3" s="274" t="s">
        <v>455</v>
      </c>
      <c r="C3"/>
      <c r="D3"/>
      <c r="E3"/>
      <c r="F3"/>
      <c r="G3" s="273"/>
    </row>
    <row r="4" spans="2:10" ht="15" x14ac:dyDescent="0.25">
      <c r="B4" s="275" t="s">
        <v>456</v>
      </c>
      <c r="C4"/>
      <c r="D4"/>
      <c r="E4"/>
      <c r="F4"/>
      <c r="G4" s="273"/>
    </row>
    <row r="5" spans="2:10" ht="15" x14ac:dyDescent="0.25">
      <c r="B5" s="276" t="s">
        <v>457</v>
      </c>
      <c r="C5" s="213"/>
      <c r="D5" s="213"/>
      <c r="E5" s="213"/>
      <c r="F5" s="213"/>
      <c r="G5" s="273"/>
    </row>
    <row r="6" spans="2:10" ht="30" x14ac:dyDescent="0.25">
      <c r="B6" s="278" t="s">
        <v>458</v>
      </c>
      <c r="C6" s="278" t="s">
        <v>459</v>
      </c>
      <c r="D6" s="213"/>
      <c r="E6" s="213"/>
      <c r="F6" s="213"/>
      <c r="G6" s="273"/>
    </row>
    <row r="7" spans="2:10" ht="15" x14ac:dyDescent="0.25">
      <c r="B7" s="279" t="s">
        <v>460</v>
      </c>
      <c r="C7" s="280">
        <v>5300</v>
      </c>
      <c r="D7" s="213"/>
      <c r="E7" s="213"/>
      <c r="F7" s="213"/>
      <c r="G7" s="273"/>
    </row>
    <row r="8" spans="2:10" ht="15" x14ac:dyDescent="0.25">
      <c r="B8" s="279" t="s">
        <v>461</v>
      </c>
      <c r="C8" s="280">
        <v>118000</v>
      </c>
      <c r="D8" s="213"/>
      <c r="E8" s="213"/>
      <c r="F8" s="213"/>
      <c r="G8" s="273"/>
    </row>
    <row r="9" spans="2:10" ht="15" x14ac:dyDescent="0.25">
      <c r="B9" s="279" t="s">
        <v>462</v>
      </c>
      <c r="C9" s="280">
        <v>246900</v>
      </c>
      <c r="D9" s="213"/>
      <c r="E9" s="213"/>
      <c r="F9" s="213"/>
      <c r="G9" s="273"/>
    </row>
    <row r="10" spans="2:10" ht="15" x14ac:dyDescent="0.25">
      <c r="B10" s="279" t="s">
        <v>463</v>
      </c>
      <c r="C10" s="280">
        <v>1254700</v>
      </c>
      <c r="D10" s="213"/>
      <c r="E10" s="213"/>
      <c r="F10" s="213"/>
      <c r="G10" s="273"/>
    </row>
    <row r="11" spans="2:10" ht="15" x14ac:dyDescent="0.25">
      <c r="B11" s="279" t="s">
        <v>464</v>
      </c>
      <c r="C11" s="280">
        <v>13200000</v>
      </c>
      <c r="D11" s="213"/>
      <c r="E11" s="213"/>
      <c r="F11" s="213"/>
      <c r="G11" s="273"/>
    </row>
    <row r="12" spans="2:10" ht="15" x14ac:dyDescent="0.25">
      <c r="B12" s="279" t="s">
        <v>465</v>
      </c>
      <c r="C12" s="280">
        <v>229800</v>
      </c>
      <c r="D12" s="213"/>
      <c r="E12" s="213"/>
      <c r="F12" s="213"/>
      <c r="G12" s="273"/>
    </row>
    <row r="13" spans="2:10" ht="15" x14ac:dyDescent="0.25">
      <c r="B13" s="276" t="s">
        <v>466</v>
      </c>
      <c r="C13" s="213"/>
      <c r="D13" s="213"/>
      <c r="E13" s="213"/>
      <c r="F13" s="213"/>
      <c r="G13" s="273"/>
    </row>
    <row r="14" spans="2:10" ht="30" x14ac:dyDescent="0.25">
      <c r="B14" s="278" t="s">
        <v>467</v>
      </c>
      <c r="C14" s="278" t="s">
        <v>459</v>
      </c>
      <c r="D14" s="213"/>
      <c r="E14" s="213"/>
      <c r="F14" s="213"/>
      <c r="G14" s="273"/>
    </row>
    <row r="15" spans="2:10" ht="15" x14ac:dyDescent="0.25">
      <c r="B15" s="279" t="s">
        <v>468</v>
      </c>
      <c r="C15" s="280">
        <v>9500</v>
      </c>
      <c r="D15" s="213"/>
      <c r="E15" s="213"/>
      <c r="F15" s="213"/>
      <c r="G15" s="273"/>
    </row>
    <row r="16" spans="2:10" ht="15" x14ac:dyDescent="0.25">
      <c r="B16" s="279" t="s">
        <v>469</v>
      </c>
      <c r="C16" s="280">
        <v>329500</v>
      </c>
      <c r="D16" s="213"/>
      <c r="E16" s="213"/>
      <c r="F16" s="213"/>
      <c r="G16" s="273"/>
    </row>
    <row r="17" spans="2:7" ht="15" x14ac:dyDescent="0.25">
      <c r="B17" s="279" t="s">
        <v>470</v>
      </c>
      <c r="C17" s="280">
        <v>14806000</v>
      </c>
      <c r="D17" s="213"/>
      <c r="E17" s="213"/>
      <c r="F17" s="213"/>
      <c r="G17" s="273"/>
    </row>
    <row r="18" spans="2:7" ht="15" x14ac:dyDescent="0.25">
      <c r="B18" s="277" t="s">
        <v>456</v>
      </c>
      <c r="C18" s="213"/>
      <c r="D18" s="213"/>
      <c r="E18" s="213"/>
      <c r="F18" s="213"/>
      <c r="G18" s="273"/>
    </row>
    <row r="19" spans="2:7" ht="15" x14ac:dyDescent="0.25">
      <c r="B19" s="276" t="s">
        <v>471</v>
      </c>
      <c r="C19" s="213"/>
      <c r="D19" s="213"/>
      <c r="E19" s="213"/>
      <c r="F19" s="213"/>
      <c r="G19" s="273"/>
    </row>
    <row r="20" spans="2:7" ht="15" x14ac:dyDescent="0.25">
      <c r="B20" s="506" t="s">
        <v>472</v>
      </c>
      <c r="C20" s="506"/>
      <c r="D20" s="213"/>
      <c r="E20" s="213"/>
      <c r="F20" s="213"/>
      <c r="G20" s="273"/>
    </row>
    <row r="21" spans="2:7" ht="15" x14ac:dyDescent="0.25">
      <c r="B21" s="506" t="s">
        <v>473</v>
      </c>
      <c r="C21" s="506"/>
      <c r="D21" s="213"/>
      <c r="E21" s="213"/>
      <c r="F21" s="213"/>
      <c r="G21" s="273"/>
    </row>
    <row r="22" spans="2:7" ht="15" x14ac:dyDescent="0.25">
      <c r="B22" s="278" t="s">
        <v>46</v>
      </c>
      <c r="C22" s="278" t="s">
        <v>474</v>
      </c>
      <c r="D22" s="213"/>
      <c r="E22" s="213"/>
      <c r="F22" s="213"/>
      <c r="G22" s="273"/>
    </row>
    <row r="23" spans="2:7" ht="15" x14ac:dyDescent="0.25">
      <c r="B23" s="279" t="s">
        <v>475</v>
      </c>
      <c r="C23" s="281"/>
      <c r="D23" s="213"/>
      <c r="E23" s="213"/>
      <c r="F23" s="213"/>
      <c r="G23" s="273"/>
    </row>
    <row r="24" spans="2:7" ht="18" x14ac:dyDescent="0.25">
      <c r="B24" s="279" t="s">
        <v>476</v>
      </c>
      <c r="C24" s="282">
        <v>19.399999999999999</v>
      </c>
      <c r="D24" s="213"/>
      <c r="E24" s="213"/>
      <c r="F24" s="213"/>
      <c r="G24" s="273"/>
    </row>
    <row r="25" spans="2:7" ht="18" x14ac:dyDescent="0.25">
      <c r="B25" s="279" t="s">
        <v>477</v>
      </c>
      <c r="C25" s="282">
        <v>33.5</v>
      </c>
      <c r="D25" s="213"/>
      <c r="E25" s="213"/>
      <c r="F25" s="213"/>
      <c r="G25" s="273"/>
    </row>
    <row r="26" spans="2:7" ht="18" x14ac:dyDescent="0.25">
      <c r="B26" s="279" t="s">
        <v>478</v>
      </c>
      <c r="C26" s="282">
        <v>21.1</v>
      </c>
      <c r="D26" s="213"/>
      <c r="E26" s="213"/>
      <c r="F26" s="213"/>
      <c r="G26" s="273"/>
    </row>
    <row r="27" spans="2:7" ht="15" x14ac:dyDescent="0.25">
      <c r="B27" s="279"/>
      <c r="C27" s="282"/>
      <c r="D27" s="213"/>
      <c r="E27" s="213"/>
      <c r="F27" s="213"/>
      <c r="G27" s="273"/>
    </row>
    <row r="28" spans="2:7" ht="33" x14ac:dyDescent="0.25">
      <c r="B28" s="279" t="s">
        <v>479</v>
      </c>
      <c r="C28" s="282">
        <v>38.799999999999997</v>
      </c>
      <c r="D28" s="213"/>
      <c r="E28" s="213"/>
      <c r="F28" s="213"/>
      <c r="G28" s="273"/>
    </row>
    <row r="29" spans="2:7" ht="15" x14ac:dyDescent="0.25">
      <c r="B29" s="281"/>
      <c r="C29" s="282"/>
      <c r="D29" s="213"/>
      <c r="E29" s="213"/>
      <c r="F29" s="213"/>
      <c r="G29" s="273"/>
    </row>
    <row r="30" spans="2:7" ht="18" x14ac:dyDescent="0.25">
      <c r="B30" s="279" t="s">
        <v>480</v>
      </c>
      <c r="C30" s="282"/>
      <c r="D30" s="213"/>
      <c r="E30" s="213"/>
      <c r="F30" s="213"/>
      <c r="G30" s="273"/>
    </row>
    <row r="31" spans="2:7" ht="15" x14ac:dyDescent="0.25">
      <c r="B31" s="279" t="s">
        <v>144</v>
      </c>
      <c r="C31" s="282">
        <v>35.700000000000003</v>
      </c>
      <c r="D31" s="213"/>
      <c r="E31" s="213"/>
      <c r="F31" s="213"/>
      <c r="G31" s="273"/>
    </row>
    <row r="32" spans="2:7" ht="15" x14ac:dyDescent="0.25">
      <c r="B32" s="279" t="s">
        <v>145</v>
      </c>
      <c r="C32" s="282">
        <v>42.6</v>
      </c>
      <c r="D32" s="213"/>
      <c r="E32" s="213"/>
      <c r="F32" s="213"/>
      <c r="G32" s="273"/>
    </row>
    <row r="33" spans="2:7" ht="15" x14ac:dyDescent="0.25">
      <c r="B33" s="279" t="s">
        <v>481</v>
      </c>
      <c r="C33" s="282">
        <v>59.6</v>
      </c>
      <c r="D33" s="213"/>
      <c r="E33" s="213"/>
      <c r="F33" s="213"/>
      <c r="G33" s="273"/>
    </row>
    <row r="34" spans="2:7" ht="15" x14ac:dyDescent="0.25">
      <c r="B34" s="279" t="s">
        <v>147</v>
      </c>
      <c r="C34" s="282">
        <v>52.9</v>
      </c>
      <c r="D34" s="213"/>
      <c r="E34" s="213"/>
      <c r="F34" s="213"/>
      <c r="G34" s="273"/>
    </row>
    <row r="35" spans="2:7" ht="15" x14ac:dyDescent="0.25">
      <c r="B35" s="285"/>
      <c r="C35" s="286"/>
      <c r="D35" s="213"/>
      <c r="E35" s="213"/>
      <c r="F35" s="213"/>
      <c r="G35" s="273"/>
    </row>
    <row r="36" spans="2:7" ht="15" x14ac:dyDescent="0.25">
      <c r="B36" s="485" t="s">
        <v>482</v>
      </c>
      <c r="C36" s="487"/>
      <c r="D36" s="213"/>
      <c r="E36" s="213"/>
      <c r="F36" s="213"/>
      <c r="G36" s="273"/>
    </row>
    <row r="37" spans="2:7" ht="15" x14ac:dyDescent="0.25">
      <c r="B37" s="485" t="s">
        <v>483</v>
      </c>
      <c r="C37" s="487"/>
      <c r="D37" s="213"/>
      <c r="E37" s="213"/>
      <c r="F37" s="213"/>
      <c r="G37" s="273"/>
    </row>
    <row r="38" spans="2:7" ht="15" x14ac:dyDescent="0.25">
      <c r="B38" s="485" t="s">
        <v>484</v>
      </c>
      <c r="C38" s="487"/>
      <c r="D38" s="213"/>
      <c r="E38" s="213"/>
      <c r="F38" s="213"/>
      <c r="G38" s="273"/>
    </row>
    <row r="39" spans="2:7" ht="15" x14ac:dyDescent="0.25">
      <c r="B39" s="507" t="s">
        <v>485</v>
      </c>
      <c r="C39" s="508"/>
      <c r="D39" s="213"/>
      <c r="E39" s="213"/>
      <c r="F39" s="213"/>
      <c r="G39" s="273"/>
    </row>
    <row r="40" spans="2:7" ht="15" x14ac:dyDescent="0.25">
      <c r="B40" s="509" t="s">
        <v>486</v>
      </c>
      <c r="C40" s="510"/>
      <c r="D40" s="213"/>
      <c r="E40" s="213"/>
      <c r="F40" s="213"/>
      <c r="G40" s="273"/>
    </row>
    <row r="41" spans="2:7" ht="15" x14ac:dyDescent="0.25">
      <c r="B41" s="268" t="s">
        <v>456</v>
      </c>
      <c r="C41" s="213"/>
      <c r="D41" s="213"/>
      <c r="E41" s="213"/>
      <c r="F41" s="213"/>
      <c r="G41" s="273"/>
    </row>
    <row r="42" spans="2:7" ht="15" x14ac:dyDescent="0.25">
      <c r="B42" s="276" t="s">
        <v>487</v>
      </c>
      <c r="C42" s="213"/>
      <c r="D42" s="213"/>
      <c r="E42" s="213"/>
      <c r="F42" s="213"/>
      <c r="G42" s="273"/>
    </row>
    <row r="43" spans="2:7" ht="15" x14ac:dyDescent="0.25">
      <c r="B43" s="287" t="s">
        <v>488</v>
      </c>
      <c r="C43" s="288" t="s">
        <v>489</v>
      </c>
      <c r="D43" s="213"/>
      <c r="E43" s="213"/>
      <c r="F43" s="213"/>
      <c r="G43" s="273"/>
    </row>
    <row r="44" spans="2:7" ht="18" x14ac:dyDescent="0.25">
      <c r="B44" s="279" t="s">
        <v>490</v>
      </c>
      <c r="C44" s="289">
        <v>1.34</v>
      </c>
      <c r="D44" s="213"/>
      <c r="E44" s="213"/>
      <c r="F44" s="213"/>
      <c r="G44" s="273"/>
    </row>
    <row r="45" spans="2:7" ht="15" x14ac:dyDescent="0.25">
      <c r="B45" s="279" t="s">
        <v>491</v>
      </c>
      <c r="C45" s="289">
        <v>1.41</v>
      </c>
      <c r="D45" s="213"/>
      <c r="E45" s="213"/>
      <c r="F45" s="213"/>
      <c r="G45" s="273"/>
    </row>
    <row r="46" spans="2:7" ht="15" x14ac:dyDescent="0.25">
      <c r="B46" s="279" t="s">
        <v>492</v>
      </c>
      <c r="C46" s="289">
        <v>1.81</v>
      </c>
      <c r="D46" s="213"/>
      <c r="E46" s="213"/>
      <c r="F46" s="213"/>
      <c r="G46" s="273"/>
    </row>
    <row r="47" spans="2:7" ht="15" x14ac:dyDescent="0.25">
      <c r="B47" s="279" t="s">
        <v>493</v>
      </c>
      <c r="C47" s="289">
        <v>1.52</v>
      </c>
      <c r="D47" s="213"/>
      <c r="E47" s="213"/>
      <c r="F47" s="213"/>
      <c r="G47" s="273"/>
    </row>
    <row r="48" spans="2:7" ht="15" x14ac:dyDescent="0.25">
      <c r="B48" s="277"/>
      <c r="C48" s="284"/>
      <c r="D48" s="213"/>
      <c r="E48" s="213"/>
      <c r="F48" s="213"/>
      <c r="G48" s="273"/>
    </row>
    <row r="49" spans="2:7" ht="15" x14ac:dyDescent="0.25">
      <c r="B49" s="503" t="s">
        <v>494</v>
      </c>
      <c r="C49" s="505"/>
      <c r="D49" s="213"/>
      <c r="E49" s="213"/>
      <c r="F49" s="213"/>
      <c r="G49" s="273"/>
    </row>
    <row r="50" spans="2:7" ht="15" x14ac:dyDescent="0.25">
      <c r="B50" s="268" t="s">
        <v>456</v>
      </c>
      <c r="C50" s="213"/>
      <c r="D50" s="213"/>
      <c r="E50" s="213"/>
      <c r="F50" s="213"/>
      <c r="G50" s="273"/>
    </row>
    <row r="51" spans="2:7" ht="15" x14ac:dyDescent="0.25">
      <c r="B51" s="276" t="s">
        <v>495</v>
      </c>
      <c r="C51" s="213"/>
      <c r="D51" s="213"/>
      <c r="E51" s="213"/>
      <c r="F51" s="213"/>
      <c r="G51" s="273"/>
    </row>
    <row r="52" spans="2:7" ht="30" x14ac:dyDescent="0.25">
      <c r="B52" s="287" t="s">
        <v>488</v>
      </c>
      <c r="C52" s="288" t="s">
        <v>496</v>
      </c>
      <c r="D52" s="213"/>
      <c r="E52" s="213"/>
      <c r="F52" s="213"/>
      <c r="G52" s="273"/>
    </row>
    <row r="53" spans="2:7" ht="18" x14ac:dyDescent="0.25">
      <c r="B53" s="279" t="s">
        <v>497</v>
      </c>
      <c r="C53" s="290">
        <v>0.56000000000000005</v>
      </c>
      <c r="D53" s="213"/>
      <c r="E53" s="213"/>
      <c r="F53" s="213"/>
      <c r="G53" s="273"/>
    </row>
    <row r="54" spans="2:7" ht="18" x14ac:dyDescent="0.25">
      <c r="B54" s="279" t="s">
        <v>498</v>
      </c>
      <c r="C54" s="290">
        <v>1.27</v>
      </c>
      <c r="D54" s="213"/>
      <c r="E54" s="213"/>
      <c r="F54" s="213"/>
      <c r="G54" s="273"/>
    </row>
    <row r="55" spans="2:7" ht="15" x14ac:dyDescent="0.25">
      <c r="B55" s="277"/>
      <c r="C55" s="284"/>
      <c r="D55" s="213"/>
      <c r="E55" s="213"/>
      <c r="F55" s="213"/>
      <c r="G55" s="273"/>
    </row>
    <row r="56" spans="2:7" ht="15" x14ac:dyDescent="0.25">
      <c r="B56" s="485" t="s">
        <v>499</v>
      </c>
      <c r="C56" s="487"/>
      <c r="D56" s="213"/>
      <c r="E56" s="213"/>
      <c r="F56" s="213"/>
      <c r="G56" s="273"/>
    </row>
    <row r="57" spans="2:7" ht="15" x14ac:dyDescent="0.25">
      <c r="B57" s="503" t="s">
        <v>500</v>
      </c>
      <c r="C57" s="505"/>
      <c r="D57" s="213"/>
      <c r="E57" s="213"/>
      <c r="F57" s="213"/>
      <c r="G57" s="273"/>
    </row>
    <row r="58" spans="2:7" ht="15" x14ac:dyDescent="0.25">
      <c r="B58" s="268" t="s">
        <v>456</v>
      </c>
      <c r="C58" s="213"/>
      <c r="D58" s="213"/>
      <c r="E58" s="213"/>
      <c r="F58" s="213"/>
      <c r="G58" s="273"/>
    </row>
    <row r="59" spans="2:7" ht="15" x14ac:dyDescent="0.25">
      <c r="B59" s="276" t="s">
        <v>501</v>
      </c>
      <c r="C59" s="213"/>
      <c r="D59" s="213"/>
      <c r="E59" s="213"/>
      <c r="F59" s="213"/>
      <c r="G59" s="273"/>
    </row>
    <row r="60" spans="2:7" ht="15" x14ac:dyDescent="0.25">
      <c r="B60" s="291"/>
      <c r="C60" s="495" t="s">
        <v>502</v>
      </c>
      <c r="D60" s="496"/>
      <c r="E60" s="497"/>
      <c r="F60" s="213"/>
      <c r="G60" s="273"/>
    </row>
    <row r="61" spans="2:7" ht="18" x14ac:dyDescent="0.25">
      <c r="B61" s="291" t="s">
        <v>503</v>
      </c>
      <c r="C61" s="291" t="s">
        <v>504</v>
      </c>
      <c r="D61" s="291" t="s">
        <v>505</v>
      </c>
      <c r="E61" s="291" t="s">
        <v>506</v>
      </c>
      <c r="F61" s="213"/>
      <c r="G61" s="273"/>
    </row>
    <row r="62" spans="2:7" ht="15" x14ac:dyDescent="0.25">
      <c r="B62" s="310" t="s">
        <v>507</v>
      </c>
      <c r="C62" s="310"/>
      <c r="D62" s="310"/>
      <c r="E62" s="311"/>
      <c r="F62" s="213"/>
      <c r="G62" s="273"/>
    </row>
    <row r="63" spans="2:7" ht="15" x14ac:dyDescent="0.25">
      <c r="B63" s="279" t="s">
        <v>508</v>
      </c>
      <c r="C63" s="308">
        <v>262</v>
      </c>
      <c r="D63" s="308">
        <v>776</v>
      </c>
      <c r="E63" s="308">
        <v>29</v>
      </c>
      <c r="F63" s="213"/>
      <c r="G63" s="273"/>
    </row>
    <row r="64" spans="2:7" ht="15" x14ac:dyDescent="0.25">
      <c r="B64" s="279" t="s">
        <v>509</v>
      </c>
      <c r="C64" s="308">
        <v>282</v>
      </c>
      <c r="D64" s="308">
        <v>106</v>
      </c>
      <c r="E64" s="308">
        <v>27</v>
      </c>
      <c r="F64" s="213"/>
      <c r="G64" s="273"/>
    </row>
    <row r="65" spans="2:7" ht="15" x14ac:dyDescent="0.25">
      <c r="B65" s="279" t="s">
        <v>510</v>
      </c>
      <c r="C65" s="308">
        <v>718</v>
      </c>
      <c r="D65" s="308">
        <v>106</v>
      </c>
      <c r="E65" s="308">
        <v>27</v>
      </c>
      <c r="F65" s="213"/>
      <c r="G65" s="273"/>
    </row>
    <row r="66" spans="2:7" ht="15" x14ac:dyDescent="0.25">
      <c r="B66" s="279" t="s">
        <v>511</v>
      </c>
      <c r="C66" s="308">
        <v>323</v>
      </c>
      <c r="D66" s="308">
        <v>106</v>
      </c>
      <c r="E66" s="308">
        <v>27</v>
      </c>
      <c r="F66" s="213"/>
      <c r="G66" s="273"/>
    </row>
    <row r="67" spans="2:7" ht="15" x14ac:dyDescent="0.25">
      <c r="B67" s="310" t="s">
        <v>512</v>
      </c>
      <c r="C67" s="310"/>
      <c r="D67" s="310"/>
      <c r="E67" s="312"/>
      <c r="F67" s="213"/>
      <c r="G67" s="273"/>
    </row>
    <row r="68" spans="2:7" ht="15" x14ac:dyDescent="0.25">
      <c r="B68" s="279" t="s">
        <v>508</v>
      </c>
      <c r="C68" s="308">
        <v>706</v>
      </c>
      <c r="D68" s="308">
        <v>2284</v>
      </c>
      <c r="E68" s="308">
        <v>290</v>
      </c>
      <c r="F68" s="213"/>
      <c r="G68" s="273"/>
    </row>
    <row r="69" spans="2:7" ht="15" x14ac:dyDescent="0.25">
      <c r="B69" s="279" t="s">
        <v>509</v>
      </c>
      <c r="C69" s="308">
        <v>687</v>
      </c>
      <c r="D69" s="308">
        <v>755</v>
      </c>
      <c r="E69" s="308">
        <v>226</v>
      </c>
      <c r="F69" s="213"/>
      <c r="G69" s="273"/>
    </row>
    <row r="70" spans="2:7" ht="15" x14ac:dyDescent="0.25">
      <c r="B70" s="279" t="s">
        <v>510</v>
      </c>
      <c r="C70" s="308">
        <v>1123</v>
      </c>
      <c r="D70" s="308">
        <v>755</v>
      </c>
      <c r="E70" s="308">
        <v>226</v>
      </c>
      <c r="F70" s="213"/>
      <c r="G70" s="273"/>
    </row>
    <row r="71" spans="2:7" ht="15" x14ac:dyDescent="0.25">
      <c r="B71" s="279" t="s">
        <v>511</v>
      </c>
      <c r="C71" s="308">
        <v>728</v>
      </c>
      <c r="D71" s="308">
        <v>755</v>
      </c>
      <c r="E71" s="308">
        <v>226</v>
      </c>
      <c r="F71" s="213"/>
      <c r="G71" s="273"/>
    </row>
    <row r="72" spans="2:7" ht="15" x14ac:dyDescent="0.25">
      <c r="B72" s="310" t="s">
        <v>513</v>
      </c>
      <c r="C72" s="310"/>
      <c r="D72" s="310"/>
      <c r="E72" s="313"/>
      <c r="F72" s="213"/>
      <c r="G72" s="273"/>
    </row>
    <row r="73" spans="2:7" ht="15" x14ac:dyDescent="0.25">
      <c r="B73" s="279" t="s">
        <v>514</v>
      </c>
      <c r="C73" s="282">
        <v>1.07</v>
      </c>
      <c r="D73" s="309" t="s">
        <v>515</v>
      </c>
      <c r="E73" s="309" t="s">
        <v>515</v>
      </c>
      <c r="F73" s="213"/>
      <c r="G73" s="273"/>
    </row>
    <row r="74" spans="2:7" ht="15" x14ac:dyDescent="0.25">
      <c r="B74" s="498" t="s">
        <v>516</v>
      </c>
      <c r="C74" s="498"/>
      <c r="D74" s="498"/>
      <c r="E74" s="499"/>
      <c r="F74" s="213"/>
      <c r="G74" s="273"/>
    </row>
    <row r="75" spans="2:7" ht="15" x14ac:dyDescent="0.25">
      <c r="B75" s="493" t="s">
        <v>517</v>
      </c>
      <c r="C75" s="493"/>
      <c r="D75" s="493"/>
      <c r="E75" s="494"/>
      <c r="F75" s="213"/>
      <c r="G75" s="273"/>
    </row>
    <row r="76" spans="2:7" ht="15" x14ac:dyDescent="0.25">
      <c r="B76" s="268" t="s">
        <v>456</v>
      </c>
      <c r="C76" s="213"/>
      <c r="D76" s="213"/>
      <c r="E76" s="213"/>
      <c r="F76" s="213"/>
      <c r="G76" s="273"/>
    </row>
    <row r="77" spans="2:7" ht="15" x14ac:dyDescent="0.25">
      <c r="B77" s="276" t="s">
        <v>518</v>
      </c>
      <c r="C77" s="213"/>
      <c r="D77" s="213"/>
      <c r="E77" s="213"/>
      <c r="F77" s="213"/>
      <c r="G77" s="273"/>
    </row>
    <row r="78" spans="2:7" ht="16.5" x14ac:dyDescent="0.25">
      <c r="B78" s="291" t="s">
        <v>519</v>
      </c>
      <c r="C78" s="288" t="s">
        <v>520</v>
      </c>
      <c r="D78" s="288" t="s">
        <v>521</v>
      </c>
      <c r="E78" s="288" t="s">
        <v>522</v>
      </c>
      <c r="F78" s="288" t="s">
        <v>523</v>
      </c>
      <c r="G78" s="273"/>
    </row>
    <row r="79" spans="2:7" ht="15" x14ac:dyDescent="0.25">
      <c r="B79" s="279">
        <v>2024</v>
      </c>
      <c r="C79" s="280">
        <v>20800</v>
      </c>
      <c r="D79" s="280">
        <v>55800</v>
      </c>
      <c r="E79" s="280">
        <v>998300</v>
      </c>
      <c r="F79" s="280">
        <v>241</v>
      </c>
      <c r="G79" s="273"/>
    </row>
    <row r="80" spans="2:7" ht="15" x14ac:dyDescent="0.25">
      <c r="B80" s="279">
        <v>2025</v>
      </c>
      <c r="C80" s="280">
        <v>21100</v>
      </c>
      <c r="D80" s="280">
        <v>56800</v>
      </c>
      <c r="E80" s="280">
        <v>1011100</v>
      </c>
      <c r="F80" s="280">
        <v>246</v>
      </c>
      <c r="G80" s="273"/>
    </row>
    <row r="81" spans="2:7" ht="15" x14ac:dyDescent="0.25">
      <c r="B81" s="279">
        <v>2026</v>
      </c>
      <c r="C81" s="280">
        <v>21400</v>
      </c>
      <c r="D81" s="280">
        <v>58100</v>
      </c>
      <c r="E81" s="280">
        <v>1029700</v>
      </c>
      <c r="F81" s="280">
        <v>250</v>
      </c>
      <c r="G81" s="273"/>
    </row>
    <row r="82" spans="2:7" ht="15" x14ac:dyDescent="0.25">
      <c r="B82" s="279">
        <v>2027</v>
      </c>
      <c r="C82" s="280">
        <v>21800</v>
      </c>
      <c r="D82" s="280">
        <v>59500</v>
      </c>
      <c r="E82" s="280">
        <v>1048800</v>
      </c>
      <c r="F82" s="280">
        <v>254</v>
      </c>
      <c r="G82" s="273"/>
    </row>
    <row r="83" spans="2:7" ht="15" x14ac:dyDescent="0.25">
      <c r="B83" s="279">
        <v>2028</v>
      </c>
      <c r="C83" s="280">
        <v>22100</v>
      </c>
      <c r="D83" s="280">
        <v>60800</v>
      </c>
      <c r="E83" s="280">
        <v>1068200</v>
      </c>
      <c r="F83" s="280">
        <v>259</v>
      </c>
      <c r="G83" s="273"/>
    </row>
    <row r="84" spans="2:7" ht="15" x14ac:dyDescent="0.25">
      <c r="B84" s="279">
        <v>2029</v>
      </c>
      <c r="C84" s="280">
        <v>22500</v>
      </c>
      <c r="D84" s="280">
        <v>62300</v>
      </c>
      <c r="E84" s="280">
        <v>1087900</v>
      </c>
      <c r="F84" s="280">
        <v>262</v>
      </c>
      <c r="G84" s="273"/>
    </row>
    <row r="85" spans="2:7" ht="15" x14ac:dyDescent="0.25">
      <c r="B85" s="279">
        <v>2030</v>
      </c>
      <c r="C85" s="280">
        <v>22900</v>
      </c>
      <c r="D85" s="280">
        <v>63700</v>
      </c>
      <c r="E85" s="280">
        <v>1108000</v>
      </c>
      <c r="F85" s="280">
        <v>267</v>
      </c>
      <c r="G85" s="273"/>
    </row>
    <row r="86" spans="2:7" ht="15" x14ac:dyDescent="0.25">
      <c r="B86" s="279">
        <v>2031</v>
      </c>
      <c r="C86" s="280">
        <v>22900</v>
      </c>
      <c r="D86" s="280">
        <v>63700</v>
      </c>
      <c r="E86" s="280">
        <v>1108000</v>
      </c>
      <c r="F86" s="280">
        <v>272</v>
      </c>
      <c r="G86" s="273"/>
    </row>
    <row r="87" spans="2:7" ht="15" x14ac:dyDescent="0.25">
      <c r="B87" s="279">
        <v>2032</v>
      </c>
      <c r="C87" s="280">
        <v>22900</v>
      </c>
      <c r="D87" s="280">
        <v>63700</v>
      </c>
      <c r="E87" s="280">
        <v>1108000</v>
      </c>
      <c r="F87" s="280">
        <v>275</v>
      </c>
      <c r="G87" s="273"/>
    </row>
    <row r="88" spans="2:7" ht="15" x14ac:dyDescent="0.25">
      <c r="B88" s="279">
        <v>2033</v>
      </c>
      <c r="C88" s="280">
        <v>22900</v>
      </c>
      <c r="D88" s="280">
        <v>63700</v>
      </c>
      <c r="E88" s="280">
        <v>1108000</v>
      </c>
      <c r="F88" s="280">
        <v>280</v>
      </c>
      <c r="G88" s="273"/>
    </row>
    <row r="89" spans="2:7" ht="15" x14ac:dyDescent="0.25">
      <c r="B89" s="279">
        <v>2034</v>
      </c>
      <c r="C89" s="280">
        <v>22900</v>
      </c>
      <c r="D89" s="280">
        <v>63700</v>
      </c>
      <c r="E89" s="280">
        <v>1108000</v>
      </c>
      <c r="F89" s="280">
        <v>284</v>
      </c>
      <c r="G89" s="273"/>
    </row>
    <row r="90" spans="2:7" ht="15" x14ac:dyDescent="0.25">
      <c r="B90" s="279">
        <v>2035</v>
      </c>
      <c r="C90" s="280">
        <v>22900</v>
      </c>
      <c r="D90" s="280">
        <v>63700</v>
      </c>
      <c r="E90" s="280">
        <v>1108000</v>
      </c>
      <c r="F90" s="280">
        <v>288</v>
      </c>
      <c r="G90" s="273"/>
    </row>
    <row r="91" spans="2:7" ht="15" x14ac:dyDescent="0.25">
      <c r="B91" s="279">
        <v>2036</v>
      </c>
      <c r="C91" s="280">
        <v>22900</v>
      </c>
      <c r="D91" s="280">
        <v>63700</v>
      </c>
      <c r="E91" s="280">
        <v>1108000</v>
      </c>
      <c r="F91" s="280">
        <v>292</v>
      </c>
      <c r="G91" s="273"/>
    </row>
    <row r="92" spans="2:7" ht="15" x14ac:dyDescent="0.25">
      <c r="B92" s="279">
        <v>2037</v>
      </c>
      <c r="C92" s="280">
        <v>22900</v>
      </c>
      <c r="D92" s="280">
        <v>63700</v>
      </c>
      <c r="E92" s="280">
        <v>1108000</v>
      </c>
      <c r="F92" s="280">
        <v>297</v>
      </c>
      <c r="G92" s="273"/>
    </row>
    <row r="93" spans="2:7" ht="15" x14ac:dyDescent="0.25">
      <c r="B93" s="279">
        <v>2038</v>
      </c>
      <c r="C93" s="280">
        <v>22900</v>
      </c>
      <c r="D93" s="280">
        <v>63700</v>
      </c>
      <c r="E93" s="280">
        <v>1108000</v>
      </c>
      <c r="F93" s="280">
        <v>301</v>
      </c>
      <c r="G93" s="273"/>
    </row>
    <row r="94" spans="2:7" ht="15" x14ac:dyDescent="0.25">
      <c r="B94" s="279">
        <v>2039</v>
      </c>
      <c r="C94" s="280">
        <v>22900</v>
      </c>
      <c r="D94" s="280">
        <v>63700</v>
      </c>
      <c r="E94" s="280">
        <v>1108000</v>
      </c>
      <c r="F94" s="280">
        <v>305</v>
      </c>
      <c r="G94" s="273"/>
    </row>
    <row r="95" spans="2:7" ht="15" x14ac:dyDescent="0.25">
      <c r="B95" s="279">
        <v>2040</v>
      </c>
      <c r="C95" s="280">
        <v>22900</v>
      </c>
      <c r="D95" s="280">
        <v>63700</v>
      </c>
      <c r="E95" s="280">
        <v>1108000</v>
      </c>
      <c r="F95" s="280">
        <v>310</v>
      </c>
      <c r="G95" s="273"/>
    </row>
    <row r="96" spans="2:7" ht="15" x14ac:dyDescent="0.25">
      <c r="B96" s="279">
        <v>2041</v>
      </c>
      <c r="C96" s="280">
        <v>22900</v>
      </c>
      <c r="D96" s="280">
        <v>63700</v>
      </c>
      <c r="E96" s="280">
        <v>1108000</v>
      </c>
      <c r="F96" s="280">
        <v>314</v>
      </c>
      <c r="G96" s="273"/>
    </row>
    <row r="97" spans="2:7" ht="15" x14ac:dyDescent="0.25">
      <c r="B97" s="279">
        <v>2042</v>
      </c>
      <c r="C97" s="280">
        <v>22900</v>
      </c>
      <c r="D97" s="280">
        <v>63700</v>
      </c>
      <c r="E97" s="280">
        <v>1108000</v>
      </c>
      <c r="F97" s="280">
        <v>319</v>
      </c>
      <c r="G97" s="273"/>
    </row>
    <row r="98" spans="2:7" ht="15" x14ac:dyDescent="0.25">
      <c r="B98" s="279">
        <v>2043</v>
      </c>
      <c r="C98" s="280">
        <v>22900</v>
      </c>
      <c r="D98" s="280">
        <v>63700</v>
      </c>
      <c r="E98" s="280">
        <v>1108000</v>
      </c>
      <c r="F98" s="280">
        <v>324</v>
      </c>
      <c r="G98" s="273"/>
    </row>
    <row r="99" spans="2:7" ht="15" x14ac:dyDescent="0.25">
      <c r="B99" s="279">
        <v>2044</v>
      </c>
      <c r="C99" s="280">
        <v>22900</v>
      </c>
      <c r="D99" s="280">
        <v>63700</v>
      </c>
      <c r="E99" s="280">
        <v>1108000</v>
      </c>
      <c r="F99" s="280">
        <v>328</v>
      </c>
      <c r="G99" s="273"/>
    </row>
    <row r="100" spans="2:7" ht="15" x14ac:dyDescent="0.25">
      <c r="B100" s="279">
        <v>2045</v>
      </c>
      <c r="C100" s="280">
        <v>22900</v>
      </c>
      <c r="D100" s="280">
        <v>63700</v>
      </c>
      <c r="E100" s="280">
        <v>1108000</v>
      </c>
      <c r="F100" s="280">
        <v>333</v>
      </c>
      <c r="G100" s="273"/>
    </row>
    <row r="101" spans="2:7" ht="15" x14ac:dyDescent="0.25">
      <c r="B101" s="279">
        <v>2046</v>
      </c>
      <c r="C101" s="280">
        <v>22900</v>
      </c>
      <c r="D101" s="280">
        <v>63700</v>
      </c>
      <c r="E101" s="280">
        <v>1108000</v>
      </c>
      <c r="F101" s="280">
        <v>338</v>
      </c>
      <c r="G101" s="273"/>
    </row>
    <row r="102" spans="2:7" ht="15" x14ac:dyDescent="0.25">
      <c r="B102" s="279">
        <v>2047</v>
      </c>
      <c r="C102" s="280">
        <v>22900</v>
      </c>
      <c r="D102" s="280">
        <v>63700</v>
      </c>
      <c r="E102" s="280">
        <v>1108000</v>
      </c>
      <c r="F102" s="280">
        <v>344</v>
      </c>
      <c r="G102" s="273"/>
    </row>
    <row r="103" spans="2:7" ht="15" x14ac:dyDescent="0.25">
      <c r="B103" s="279">
        <v>2048</v>
      </c>
      <c r="C103" s="280">
        <v>22900</v>
      </c>
      <c r="D103" s="280">
        <v>63700</v>
      </c>
      <c r="E103" s="280">
        <v>1108000</v>
      </c>
      <c r="F103" s="280">
        <v>348</v>
      </c>
      <c r="G103" s="273"/>
    </row>
    <row r="104" spans="2:7" ht="15" x14ac:dyDescent="0.25">
      <c r="B104" s="279">
        <v>2049</v>
      </c>
      <c r="C104" s="280">
        <v>22900</v>
      </c>
      <c r="D104" s="280">
        <v>63700</v>
      </c>
      <c r="E104" s="280">
        <v>1108000</v>
      </c>
      <c r="F104" s="280">
        <v>353</v>
      </c>
      <c r="G104" s="273"/>
    </row>
    <row r="105" spans="2:7" ht="15" x14ac:dyDescent="0.25">
      <c r="B105" s="279">
        <v>2050</v>
      </c>
      <c r="C105" s="280">
        <v>22900</v>
      </c>
      <c r="D105" s="280">
        <v>63700</v>
      </c>
      <c r="E105" s="280">
        <v>1108000</v>
      </c>
      <c r="F105" s="280">
        <v>357</v>
      </c>
      <c r="G105" s="273"/>
    </row>
    <row r="106" spans="2:7" ht="15" x14ac:dyDescent="0.25">
      <c r="B106" s="279">
        <v>2051</v>
      </c>
      <c r="C106" s="280">
        <v>22900</v>
      </c>
      <c r="D106" s="280">
        <v>63700</v>
      </c>
      <c r="E106" s="280">
        <v>1108000</v>
      </c>
      <c r="F106" s="280">
        <v>362</v>
      </c>
      <c r="G106" s="273"/>
    </row>
    <row r="107" spans="2:7" ht="15" x14ac:dyDescent="0.25">
      <c r="B107" s="279">
        <v>2052</v>
      </c>
      <c r="C107" s="280">
        <v>22900</v>
      </c>
      <c r="D107" s="280">
        <v>63700</v>
      </c>
      <c r="E107" s="280">
        <v>1108000</v>
      </c>
      <c r="F107" s="280">
        <v>366</v>
      </c>
      <c r="G107" s="273"/>
    </row>
    <row r="108" spans="2:7" ht="15" x14ac:dyDescent="0.25">
      <c r="B108" s="279">
        <v>2053</v>
      </c>
      <c r="C108" s="280">
        <v>22900</v>
      </c>
      <c r="D108" s="280">
        <v>63700</v>
      </c>
      <c r="E108" s="280">
        <v>1108000</v>
      </c>
      <c r="F108" s="294">
        <v>370</v>
      </c>
      <c r="G108" s="273"/>
    </row>
    <row r="109" spans="2:7" ht="15" x14ac:dyDescent="0.25">
      <c r="B109" s="279">
        <v>2054</v>
      </c>
      <c r="C109" s="280">
        <v>22900</v>
      </c>
      <c r="D109" s="280">
        <v>63700</v>
      </c>
      <c r="E109" s="280">
        <v>1108000</v>
      </c>
      <c r="F109" s="294">
        <v>375</v>
      </c>
      <c r="G109" s="273"/>
    </row>
    <row r="110" spans="2:7" ht="15" x14ac:dyDescent="0.25">
      <c r="B110" s="292"/>
      <c r="C110" s="293"/>
      <c r="D110" s="293"/>
      <c r="E110" s="293"/>
      <c r="F110" s="294"/>
      <c r="G110" s="273"/>
    </row>
    <row r="111" spans="2:7" ht="15" x14ac:dyDescent="0.25">
      <c r="B111" s="511" t="s">
        <v>524</v>
      </c>
      <c r="C111" s="512"/>
      <c r="D111" s="512"/>
      <c r="E111" s="512"/>
      <c r="F111" s="513"/>
      <c r="G111" s="273"/>
    </row>
    <row r="112" spans="2:7" ht="16.5" x14ac:dyDescent="0.25">
      <c r="B112" s="514" t="s">
        <v>525</v>
      </c>
      <c r="C112" s="515"/>
      <c r="D112" s="515"/>
      <c r="E112" s="515"/>
      <c r="F112" s="516"/>
      <c r="G112" s="273"/>
    </row>
    <row r="113" spans="2:7" ht="15" x14ac:dyDescent="0.25">
      <c r="B113" s="268" t="s">
        <v>456</v>
      </c>
      <c r="C113" s="213"/>
      <c r="D113" s="213"/>
      <c r="E113" s="213"/>
      <c r="F113" s="213"/>
      <c r="G113" s="273"/>
    </row>
    <row r="114" spans="2:7" ht="15" x14ac:dyDescent="0.25">
      <c r="B114" s="276" t="s">
        <v>526</v>
      </c>
      <c r="C114" s="213"/>
      <c r="D114" s="213"/>
      <c r="E114" s="213"/>
      <c r="F114" s="213"/>
      <c r="G114" s="273"/>
    </row>
    <row r="115" spans="2:7" ht="30" x14ac:dyDescent="0.25">
      <c r="B115" s="287" t="s">
        <v>527</v>
      </c>
      <c r="C115" s="288" t="s">
        <v>528</v>
      </c>
      <c r="D115" s="213"/>
      <c r="E115" s="213"/>
      <c r="F115" s="213"/>
      <c r="G115" s="273"/>
    </row>
    <row r="116" spans="2:7" ht="15" x14ac:dyDescent="0.25">
      <c r="B116" s="295">
        <v>2004</v>
      </c>
      <c r="C116" s="289">
        <v>1.55</v>
      </c>
      <c r="D116" s="213"/>
      <c r="E116" s="213"/>
      <c r="F116" s="213"/>
      <c r="G116" s="273"/>
    </row>
    <row r="117" spans="2:7" ht="15" x14ac:dyDescent="0.25">
      <c r="B117" s="295">
        <v>2005</v>
      </c>
      <c r="C117" s="289">
        <v>1.5</v>
      </c>
      <c r="D117" s="213"/>
      <c r="E117" s="213"/>
      <c r="F117" s="213"/>
      <c r="G117" s="273"/>
    </row>
    <row r="118" spans="2:7" ht="15" x14ac:dyDescent="0.25">
      <c r="B118" s="295">
        <v>2006</v>
      </c>
      <c r="C118" s="289">
        <v>1.45</v>
      </c>
      <c r="D118" s="213"/>
      <c r="E118" s="213"/>
      <c r="F118" s="213"/>
      <c r="G118" s="273"/>
    </row>
    <row r="119" spans="2:7" ht="15" x14ac:dyDescent="0.25">
      <c r="B119" s="295">
        <v>2007</v>
      </c>
      <c r="C119" s="289">
        <v>1.42</v>
      </c>
      <c r="D119" s="213"/>
      <c r="E119" s="213"/>
      <c r="F119" s="213"/>
      <c r="G119" s="273"/>
    </row>
    <row r="120" spans="2:7" ht="15" x14ac:dyDescent="0.25">
      <c r="B120" s="295">
        <v>2008</v>
      </c>
      <c r="C120" s="289">
        <v>1.39</v>
      </c>
      <c r="D120" s="213"/>
      <c r="E120" s="213"/>
      <c r="F120" s="213"/>
      <c r="G120" s="273"/>
    </row>
    <row r="121" spans="2:7" ht="15" x14ac:dyDescent="0.25">
      <c r="B121" s="295">
        <v>2009</v>
      </c>
      <c r="C121" s="289">
        <v>1.38</v>
      </c>
      <c r="D121" s="213"/>
      <c r="E121" s="213"/>
      <c r="F121" s="213"/>
      <c r="G121" s="273"/>
    </row>
    <row r="122" spans="2:7" ht="15" x14ac:dyDescent="0.25">
      <c r="B122" s="295">
        <v>2010</v>
      </c>
      <c r="C122" s="289">
        <v>1.36</v>
      </c>
      <c r="D122" s="213"/>
      <c r="E122" s="213"/>
      <c r="F122" s="213"/>
      <c r="G122" s="273"/>
    </row>
    <row r="123" spans="2:7" ht="15" x14ac:dyDescent="0.25">
      <c r="B123" s="295">
        <v>2011</v>
      </c>
      <c r="C123" s="289">
        <v>1.34</v>
      </c>
      <c r="D123" s="213"/>
      <c r="E123" s="213"/>
      <c r="F123" s="213"/>
      <c r="G123" s="273"/>
    </row>
    <row r="124" spans="2:7" ht="15" x14ac:dyDescent="0.25">
      <c r="B124" s="295">
        <v>2012</v>
      </c>
      <c r="C124" s="289">
        <v>1.31</v>
      </c>
      <c r="D124" s="213"/>
      <c r="E124" s="213"/>
      <c r="F124" s="213"/>
      <c r="G124" s="273"/>
    </row>
    <row r="125" spans="2:7" ht="15" x14ac:dyDescent="0.25">
      <c r="B125" s="295">
        <v>2013</v>
      </c>
      <c r="C125" s="289">
        <v>1.29</v>
      </c>
      <c r="D125" s="213"/>
      <c r="E125" s="213"/>
      <c r="F125" s="213"/>
      <c r="G125" s="273"/>
    </row>
    <row r="126" spans="2:7" ht="15" x14ac:dyDescent="0.25">
      <c r="B126" s="295">
        <v>2014</v>
      </c>
      <c r="C126" s="289">
        <v>1.27</v>
      </c>
      <c r="D126" s="213"/>
      <c r="E126" s="213"/>
      <c r="F126" s="213"/>
      <c r="G126" s="273"/>
    </row>
    <row r="127" spans="2:7" ht="15" x14ac:dyDescent="0.25">
      <c r="B127" s="295">
        <v>2015</v>
      </c>
      <c r="C127" s="289">
        <v>1.26</v>
      </c>
      <c r="D127" s="213"/>
      <c r="E127" s="213"/>
      <c r="F127" s="213"/>
      <c r="G127" s="273"/>
    </row>
    <row r="128" spans="2:7" ht="15" x14ac:dyDescent="0.25">
      <c r="B128" s="295">
        <v>2016</v>
      </c>
      <c r="C128" s="289">
        <v>1.24</v>
      </c>
      <c r="D128" s="213"/>
      <c r="E128" s="213"/>
      <c r="F128" s="213"/>
      <c r="G128" s="273"/>
    </row>
    <row r="129" spans="2:7" ht="15" x14ac:dyDescent="0.25">
      <c r="B129" s="295">
        <v>2017</v>
      </c>
      <c r="C129" s="289">
        <v>1.22</v>
      </c>
      <c r="D129" s="213"/>
      <c r="E129" s="213"/>
      <c r="F129" s="213"/>
      <c r="G129" s="273"/>
    </row>
    <row r="130" spans="2:7" ht="15" x14ac:dyDescent="0.25">
      <c r="B130" s="295">
        <v>2018</v>
      </c>
      <c r="C130" s="289">
        <v>1.2</v>
      </c>
      <c r="D130" s="213"/>
      <c r="E130" s="213"/>
      <c r="F130" s="213"/>
      <c r="G130" s="273"/>
    </row>
    <row r="131" spans="2:7" ht="15" x14ac:dyDescent="0.25">
      <c r="B131" s="295">
        <v>2019</v>
      </c>
      <c r="C131" s="289">
        <v>1.18</v>
      </c>
      <c r="D131" s="213"/>
      <c r="E131" s="213"/>
      <c r="F131" s="213"/>
      <c r="G131" s="273"/>
    </row>
    <row r="132" spans="2:7" ht="15" x14ac:dyDescent="0.25">
      <c r="B132" s="295">
        <v>2020</v>
      </c>
      <c r="C132" s="289">
        <v>1.1599999999999999</v>
      </c>
      <c r="D132" s="213"/>
      <c r="E132" s="213"/>
      <c r="F132" s="213"/>
      <c r="G132" s="273"/>
    </row>
    <row r="133" spans="2:7" ht="15" x14ac:dyDescent="0.25">
      <c r="B133" s="295">
        <v>2021</v>
      </c>
      <c r="C133" s="289">
        <v>1.1100000000000001</v>
      </c>
      <c r="D133" s="213"/>
      <c r="E133" s="213"/>
      <c r="F133" s="213"/>
      <c r="G133" s="273"/>
    </row>
    <row r="134" spans="2:7" ht="15" x14ac:dyDescent="0.25">
      <c r="B134" s="295">
        <v>2022</v>
      </c>
      <c r="C134" s="289">
        <v>1.04</v>
      </c>
      <c r="D134" s="213"/>
      <c r="E134" s="213"/>
      <c r="F134" s="213"/>
      <c r="G134" s="273"/>
    </row>
    <row r="135" spans="2:7" ht="15" x14ac:dyDescent="0.25">
      <c r="B135" s="295">
        <v>2023</v>
      </c>
      <c r="C135" s="289">
        <v>1</v>
      </c>
      <c r="D135" s="213"/>
      <c r="E135" s="213"/>
      <c r="F135" s="213"/>
      <c r="G135" s="273"/>
    </row>
    <row r="136" spans="2:7" ht="15" x14ac:dyDescent="0.25">
      <c r="B136" s="268" t="s">
        <v>456</v>
      </c>
      <c r="C136" s="213"/>
      <c r="D136" s="213"/>
      <c r="E136" s="213"/>
      <c r="F136" s="213"/>
      <c r="G136" s="273"/>
    </row>
    <row r="137" spans="2:7" ht="15" x14ac:dyDescent="0.25">
      <c r="B137" s="276" t="s">
        <v>529</v>
      </c>
      <c r="C137" s="213"/>
      <c r="D137" s="213"/>
      <c r="E137" s="213"/>
      <c r="F137" s="213"/>
      <c r="G137" s="273"/>
    </row>
    <row r="138" spans="2:7" ht="48" x14ac:dyDescent="0.25">
      <c r="B138" s="287" t="s">
        <v>530</v>
      </c>
      <c r="C138" s="288" t="s">
        <v>531</v>
      </c>
      <c r="D138" s="213"/>
      <c r="E138" s="213"/>
      <c r="F138" s="213"/>
      <c r="G138" s="273"/>
    </row>
    <row r="139" spans="2:7" ht="18" x14ac:dyDescent="0.25">
      <c r="B139" s="296" t="s">
        <v>532</v>
      </c>
      <c r="C139" s="282">
        <v>0.11</v>
      </c>
      <c r="D139" s="213"/>
      <c r="E139" s="213"/>
      <c r="F139" s="213"/>
      <c r="G139" s="273"/>
    </row>
    <row r="140" spans="2:7" ht="15" x14ac:dyDescent="0.25">
      <c r="B140" s="296" t="s">
        <v>533</v>
      </c>
      <c r="C140" s="282">
        <v>1.2</v>
      </c>
      <c r="D140" s="213"/>
      <c r="E140" s="213"/>
      <c r="F140" s="213"/>
      <c r="G140" s="273"/>
    </row>
    <row r="141" spans="2:7" ht="15" x14ac:dyDescent="0.25">
      <c r="B141" s="296" t="s">
        <v>534</v>
      </c>
      <c r="C141" s="282">
        <v>0.1</v>
      </c>
      <c r="D141" s="213"/>
      <c r="E141" s="213"/>
      <c r="F141" s="213"/>
      <c r="G141" s="273"/>
    </row>
    <row r="142" spans="2:7" ht="30" x14ac:dyDescent="0.25">
      <c r="B142" s="297" t="s">
        <v>535</v>
      </c>
      <c r="C142" s="298">
        <v>1.1000000000000001E-3</v>
      </c>
      <c r="D142" s="213"/>
      <c r="E142" s="213"/>
      <c r="F142" s="213"/>
      <c r="G142" s="273"/>
    </row>
    <row r="143" spans="2:7" ht="15" x14ac:dyDescent="0.25">
      <c r="B143" s="268" t="s">
        <v>456</v>
      </c>
      <c r="C143" s="267"/>
      <c r="D143" s="213"/>
      <c r="E143" s="213"/>
      <c r="F143" s="213"/>
      <c r="G143" s="273"/>
    </row>
    <row r="144" spans="2:7" ht="33" x14ac:dyDescent="0.25">
      <c r="B144" s="287" t="s">
        <v>530</v>
      </c>
      <c r="C144" s="288" t="s">
        <v>536</v>
      </c>
      <c r="D144" s="213"/>
      <c r="E144" s="213"/>
      <c r="F144" s="213"/>
      <c r="G144" s="273"/>
    </row>
    <row r="145" spans="2:7" ht="30" x14ac:dyDescent="0.25">
      <c r="B145" s="297" t="s">
        <v>537</v>
      </c>
      <c r="C145" s="282">
        <v>0.21</v>
      </c>
      <c r="D145" s="213"/>
      <c r="E145" s="213"/>
      <c r="F145" s="213"/>
      <c r="G145" s="273"/>
    </row>
    <row r="146" spans="2:7" ht="30" x14ac:dyDescent="0.25">
      <c r="B146" s="297" t="s">
        <v>204</v>
      </c>
      <c r="C146" s="282">
        <v>0.55000000000000004</v>
      </c>
      <c r="D146" s="213"/>
      <c r="E146" s="213"/>
      <c r="F146" s="213"/>
      <c r="G146" s="273"/>
    </row>
    <row r="147" spans="2:7" ht="15" x14ac:dyDescent="0.25">
      <c r="B147" s="299"/>
      <c r="C147" s="300"/>
      <c r="D147" s="213"/>
      <c r="E147" s="213"/>
      <c r="F147" s="213"/>
      <c r="G147" s="273"/>
    </row>
    <row r="148" spans="2:7" ht="15" x14ac:dyDescent="0.25">
      <c r="B148" s="485" t="s">
        <v>538</v>
      </c>
      <c r="C148" s="490"/>
      <c r="D148" s="213">
        <v>3.2</v>
      </c>
      <c r="E148" s="213"/>
      <c r="F148" s="213"/>
      <c r="G148" s="273"/>
    </row>
    <row r="149" spans="2:7" ht="15.75" thickBot="1" x14ac:dyDescent="0.3">
      <c r="B149" s="491" t="s">
        <v>539</v>
      </c>
      <c r="C149" s="492"/>
      <c r="D149" s="213"/>
      <c r="E149" s="213"/>
      <c r="F149" s="213"/>
      <c r="G149" s="273"/>
    </row>
    <row r="150" spans="2:7" ht="15" x14ac:dyDescent="0.25">
      <c r="B150" s="268" t="s">
        <v>456</v>
      </c>
      <c r="C150" s="213"/>
      <c r="D150" s="213"/>
      <c r="E150" s="213"/>
      <c r="F150" s="213"/>
      <c r="G150" s="273"/>
    </row>
    <row r="151" spans="2:7" ht="15" x14ac:dyDescent="0.25">
      <c r="B151" s="276" t="s">
        <v>540</v>
      </c>
      <c r="C151" s="213"/>
      <c r="D151" s="213"/>
      <c r="E151" s="213"/>
      <c r="F151" s="213"/>
      <c r="G151" s="273"/>
    </row>
    <row r="152" spans="2:7" ht="33" x14ac:dyDescent="0.25">
      <c r="B152" s="287" t="s">
        <v>541</v>
      </c>
      <c r="C152" s="288" t="s">
        <v>542</v>
      </c>
      <c r="D152" s="213"/>
      <c r="E152" s="213"/>
      <c r="F152" s="213"/>
      <c r="G152" s="273"/>
    </row>
    <row r="153" spans="2:7" ht="15" x14ac:dyDescent="0.25">
      <c r="B153" s="279" t="s">
        <v>543</v>
      </c>
      <c r="C153" s="290">
        <v>1.7</v>
      </c>
      <c r="D153" s="213"/>
      <c r="E153" s="213"/>
      <c r="F153" s="213"/>
      <c r="G153" s="273"/>
    </row>
    <row r="154" spans="2:7" ht="18" x14ac:dyDescent="0.25">
      <c r="B154" s="279" t="s">
        <v>544</v>
      </c>
      <c r="C154" s="290">
        <v>2.13</v>
      </c>
      <c r="D154" s="213"/>
      <c r="E154" s="213"/>
      <c r="F154" s="213"/>
      <c r="G154" s="273"/>
    </row>
    <row r="155" spans="2:7" ht="15" x14ac:dyDescent="0.25">
      <c r="B155" s="279" t="s">
        <v>545</v>
      </c>
      <c r="C155" s="290">
        <v>2.02</v>
      </c>
      <c r="D155" s="213"/>
      <c r="E155" s="213"/>
      <c r="F155" s="213"/>
      <c r="G155" s="273"/>
    </row>
    <row r="156" spans="2:7" ht="15" x14ac:dyDescent="0.25">
      <c r="B156" s="279" t="s">
        <v>546</v>
      </c>
      <c r="C156" s="290">
        <v>0.32</v>
      </c>
      <c r="D156" s="213"/>
      <c r="E156" s="213"/>
      <c r="F156" s="213"/>
      <c r="G156" s="273"/>
    </row>
    <row r="157" spans="2:7" ht="15" x14ac:dyDescent="0.25">
      <c r="B157" s="279" t="s">
        <v>547</v>
      </c>
      <c r="C157" s="290">
        <v>2.02</v>
      </c>
      <c r="D157" s="213"/>
      <c r="E157" s="213"/>
      <c r="F157" s="213"/>
      <c r="G157" s="273"/>
    </row>
    <row r="158" spans="2:7" ht="15" x14ac:dyDescent="0.25">
      <c r="B158" s="277"/>
      <c r="C158" s="267"/>
      <c r="D158" s="213"/>
      <c r="E158" s="213"/>
      <c r="F158" s="213"/>
      <c r="G158" s="273"/>
    </row>
    <row r="159" spans="2:7" ht="15" x14ac:dyDescent="0.25">
      <c r="B159" s="485" t="s">
        <v>548</v>
      </c>
      <c r="C159" s="490"/>
      <c r="D159" s="213"/>
      <c r="E159" s="213"/>
      <c r="F159" s="213"/>
      <c r="G159" s="273"/>
    </row>
    <row r="160" spans="2:7" ht="15.75" thickBot="1" x14ac:dyDescent="0.3">
      <c r="B160" s="491" t="s">
        <v>549</v>
      </c>
      <c r="C160" s="492"/>
      <c r="D160" s="213"/>
      <c r="E160" s="213"/>
      <c r="F160" s="213"/>
      <c r="G160" s="273"/>
    </row>
    <row r="161" spans="2:7" ht="15" x14ac:dyDescent="0.25">
      <c r="B161" s="268" t="s">
        <v>456</v>
      </c>
      <c r="C161"/>
      <c r="D161"/>
      <c r="E161"/>
      <c r="F161"/>
      <c r="G161" s="273"/>
    </row>
    <row r="162" spans="2:7" ht="15" x14ac:dyDescent="0.25">
      <c r="B162" s="276" t="s">
        <v>550</v>
      </c>
      <c r="C162"/>
      <c r="D162"/>
      <c r="E162"/>
      <c r="F162"/>
      <c r="G162" s="273"/>
    </row>
    <row r="163" spans="2:7" ht="15" x14ac:dyDescent="0.25">
      <c r="B163" s="489" t="s">
        <v>551</v>
      </c>
      <c r="C163" s="488" t="s">
        <v>552</v>
      </c>
      <c r="D163" s="488"/>
      <c r="E163" s="488"/>
      <c r="F163"/>
      <c r="G163" s="273"/>
    </row>
    <row r="164" spans="2:7" ht="15" x14ac:dyDescent="0.25">
      <c r="B164" s="489"/>
      <c r="C164" s="288" t="s">
        <v>553</v>
      </c>
      <c r="D164" s="288" t="s">
        <v>554</v>
      </c>
      <c r="E164" s="288" t="s">
        <v>555</v>
      </c>
      <c r="F164"/>
      <c r="G164" s="273"/>
    </row>
    <row r="165" spans="2:7" ht="15" x14ac:dyDescent="0.25">
      <c r="B165" s="301" t="s">
        <v>556</v>
      </c>
      <c r="C165" s="302">
        <v>0.04</v>
      </c>
      <c r="D165" s="302">
        <v>0.04</v>
      </c>
      <c r="E165" s="302">
        <v>7.0000000000000007E-2</v>
      </c>
      <c r="F165"/>
      <c r="G165" s="273"/>
    </row>
    <row r="166" spans="2:7" ht="15" x14ac:dyDescent="0.25">
      <c r="B166" s="301" t="s">
        <v>557</v>
      </c>
      <c r="C166" s="302">
        <v>0.35</v>
      </c>
      <c r="D166" s="302">
        <v>0.17</v>
      </c>
      <c r="E166" s="302">
        <v>0.97</v>
      </c>
      <c r="F166"/>
      <c r="G166" s="273"/>
    </row>
    <row r="167" spans="2:7" ht="15" x14ac:dyDescent="0.25">
      <c r="B167" s="301" t="s">
        <v>558</v>
      </c>
      <c r="C167" s="302">
        <v>0.26</v>
      </c>
      <c r="D167" s="302">
        <v>0.26</v>
      </c>
      <c r="E167" s="302">
        <v>0.12</v>
      </c>
      <c r="F167"/>
      <c r="G167" s="273"/>
    </row>
    <row r="168" spans="2:7" ht="15" x14ac:dyDescent="0.25">
      <c r="B168" s="301" t="s">
        <v>559</v>
      </c>
      <c r="C168" s="302">
        <v>0.35</v>
      </c>
      <c r="D168" s="302">
        <v>0.06</v>
      </c>
      <c r="E168" s="302">
        <v>0.11</v>
      </c>
      <c r="F168"/>
      <c r="G168" s="273"/>
    </row>
    <row r="169" spans="2:7" ht="18" x14ac:dyDescent="0.25">
      <c r="B169" s="301" t="s">
        <v>560</v>
      </c>
      <c r="C169" s="302">
        <v>0.21</v>
      </c>
      <c r="D169" s="302">
        <v>0.15</v>
      </c>
      <c r="E169" s="302">
        <v>0.14000000000000001</v>
      </c>
      <c r="F169"/>
      <c r="G169" s="273"/>
    </row>
    <row r="170" spans="2:7" ht="18" x14ac:dyDescent="0.25">
      <c r="B170" s="301" t="s">
        <v>561</v>
      </c>
      <c r="C170" s="302">
        <v>0.28000000000000003</v>
      </c>
      <c r="D170" s="302">
        <v>0.18</v>
      </c>
      <c r="E170" s="302">
        <v>0.14000000000000001</v>
      </c>
      <c r="F170"/>
      <c r="G170" s="273"/>
    </row>
    <row r="171" spans="2:7" ht="15" x14ac:dyDescent="0.25">
      <c r="B171" s="301" t="s">
        <v>562</v>
      </c>
      <c r="C171" s="302">
        <v>0.16</v>
      </c>
      <c r="D171" s="302">
        <v>0.16</v>
      </c>
      <c r="E171" s="302">
        <v>0.12</v>
      </c>
      <c r="F171"/>
      <c r="G171" s="273"/>
    </row>
    <row r="172" spans="2:7" ht="15" x14ac:dyDescent="0.25">
      <c r="B172" s="301" t="s">
        <v>563</v>
      </c>
      <c r="C172" s="302">
        <v>0.12</v>
      </c>
      <c r="D172" s="302">
        <v>0.12</v>
      </c>
      <c r="E172" s="302">
        <v>7.0000000000000007E-2</v>
      </c>
      <c r="F172"/>
      <c r="G172" s="273"/>
    </row>
    <row r="173" spans="2:7" ht="15" x14ac:dyDescent="0.25">
      <c r="B173" s="301" t="s">
        <v>564</v>
      </c>
      <c r="C173" s="302">
        <v>0.08</v>
      </c>
      <c r="D173" s="302">
        <v>0.03</v>
      </c>
      <c r="E173" s="302">
        <v>0.2</v>
      </c>
      <c r="F173"/>
      <c r="G173" s="273"/>
    </row>
    <row r="174" spans="2:7" ht="15" x14ac:dyDescent="0.25">
      <c r="B174" s="301" t="s">
        <v>565</v>
      </c>
      <c r="C174" s="302">
        <v>0.36</v>
      </c>
      <c r="D174" s="302">
        <v>0.36</v>
      </c>
      <c r="E174" s="302">
        <v>0.23</v>
      </c>
      <c r="F174"/>
      <c r="G174" s="273"/>
    </row>
    <row r="175" spans="2:7" ht="15" x14ac:dyDescent="0.25">
      <c r="B175" s="301" t="s">
        <v>566</v>
      </c>
      <c r="C175" s="302">
        <v>0.47</v>
      </c>
      <c r="D175" s="302">
        <v>0.08</v>
      </c>
      <c r="E175" s="302">
        <v>0.08</v>
      </c>
      <c r="F175"/>
      <c r="G175" s="273"/>
    </row>
    <row r="176" spans="2:7" ht="15" x14ac:dyDescent="0.25">
      <c r="B176" s="301" t="s">
        <v>567</v>
      </c>
      <c r="C176" s="302">
        <v>0.35</v>
      </c>
      <c r="D176" s="302">
        <v>0.35</v>
      </c>
      <c r="E176" s="302">
        <v>0.36</v>
      </c>
      <c r="F176"/>
      <c r="G176" s="273"/>
    </row>
    <row r="177" spans="2:7" ht="18" x14ac:dyDescent="0.25">
      <c r="B177" s="301" t="s">
        <v>568</v>
      </c>
      <c r="C177" s="302">
        <v>0.7</v>
      </c>
      <c r="D177" s="302">
        <v>0.7</v>
      </c>
      <c r="E177" s="302">
        <v>0.7</v>
      </c>
      <c r="F177"/>
      <c r="G177" s="273"/>
    </row>
    <row r="178" spans="2:7" ht="15" x14ac:dyDescent="0.25">
      <c r="B178" s="301" t="s">
        <v>569</v>
      </c>
      <c r="C178" s="302">
        <v>0.12</v>
      </c>
      <c r="D178" s="302">
        <v>0.12</v>
      </c>
      <c r="E178" s="302">
        <v>7.0000000000000007E-2</v>
      </c>
      <c r="F178"/>
      <c r="G178" s="273"/>
    </row>
    <row r="179" spans="2:7" ht="15" x14ac:dyDescent="0.25">
      <c r="B179" s="301" t="s">
        <v>570</v>
      </c>
      <c r="C179" s="302">
        <v>0.26</v>
      </c>
      <c r="D179" s="302">
        <v>0.11</v>
      </c>
      <c r="E179" s="302">
        <v>0.53</v>
      </c>
      <c r="F179"/>
      <c r="G179" s="273"/>
    </row>
    <row r="180" spans="2:7" ht="15" x14ac:dyDescent="0.25">
      <c r="B180" s="301" t="s">
        <v>571</v>
      </c>
      <c r="C180" s="303" t="s">
        <v>515</v>
      </c>
      <c r="D180" s="303" t="s">
        <v>515</v>
      </c>
      <c r="E180" s="302">
        <v>0.11</v>
      </c>
      <c r="F180"/>
      <c r="G180" s="273"/>
    </row>
    <row r="181" spans="2:7" ht="15" x14ac:dyDescent="0.25">
      <c r="B181" s="301" t="s">
        <v>572</v>
      </c>
      <c r="C181" s="303" t="s">
        <v>515</v>
      </c>
      <c r="D181" s="303" t="s">
        <v>515</v>
      </c>
      <c r="E181" s="302">
        <v>0.13</v>
      </c>
      <c r="F181"/>
      <c r="G181" s="273"/>
    </row>
    <row r="182" spans="2:7" ht="15" x14ac:dyDescent="0.25">
      <c r="B182" s="301" t="s">
        <v>573</v>
      </c>
      <c r="C182" s="303" t="s">
        <v>515</v>
      </c>
      <c r="D182" s="303" t="s">
        <v>515</v>
      </c>
      <c r="E182" s="302">
        <v>0.08</v>
      </c>
      <c r="F182"/>
      <c r="G182" s="273"/>
    </row>
    <row r="183" spans="2:7" ht="15" x14ac:dyDescent="0.25">
      <c r="B183" s="301" t="s">
        <v>574</v>
      </c>
      <c r="C183" s="303" t="s">
        <v>515</v>
      </c>
      <c r="D183" s="303" t="s">
        <v>515</v>
      </c>
      <c r="E183" s="302">
        <v>0.04</v>
      </c>
      <c r="F183"/>
      <c r="G183" s="273"/>
    </row>
    <row r="184" spans="2:7" ht="15" x14ac:dyDescent="0.25">
      <c r="B184" s="301" t="s">
        <v>575</v>
      </c>
      <c r="C184" s="303" t="s">
        <v>515</v>
      </c>
      <c r="D184" s="303" t="s">
        <v>515</v>
      </c>
      <c r="E184" s="302">
        <v>0.11</v>
      </c>
      <c r="F184"/>
      <c r="G184" s="273"/>
    </row>
    <row r="185" spans="2:7" ht="15" x14ac:dyDescent="0.25">
      <c r="B185" s="301" t="s">
        <v>576</v>
      </c>
      <c r="C185" s="303" t="s">
        <v>515</v>
      </c>
      <c r="D185" s="303" t="s">
        <v>515</v>
      </c>
      <c r="E185" s="302">
        <v>0.06</v>
      </c>
      <c r="F185"/>
      <c r="G185" s="273"/>
    </row>
    <row r="186" spans="2:7" ht="18" x14ac:dyDescent="0.25">
      <c r="B186" s="301" t="s">
        <v>577</v>
      </c>
      <c r="C186" s="303" t="s">
        <v>515</v>
      </c>
      <c r="D186" s="303" t="s">
        <v>515</v>
      </c>
      <c r="E186" s="302">
        <v>0.23</v>
      </c>
      <c r="F186"/>
      <c r="G186" s="273"/>
    </row>
    <row r="187" spans="2:7" ht="15" x14ac:dyDescent="0.25">
      <c r="B187" s="304"/>
      <c r="C187" s="271"/>
      <c r="D187" s="271"/>
      <c r="E187" s="272"/>
      <c r="F187"/>
      <c r="G187" s="273"/>
    </row>
    <row r="188" spans="2:7" ht="15" x14ac:dyDescent="0.25">
      <c r="B188" s="503" t="s">
        <v>578</v>
      </c>
      <c r="C188" s="504"/>
      <c r="D188" s="504"/>
      <c r="E188" s="505"/>
      <c r="F188"/>
      <c r="G188" s="273"/>
    </row>
    <row r="189" spans="2:7" ht="15" x14ac:dyDescent="0.25">
      <c r="B189" s="268" t="s">
        <v>456</v>
      </c>
      <c r="C189"/>
      <c r="D189"/>
      <c r="E189"/>
      <c r="F189"/>
      <c r="G189" s="273"/>
    </row>
    <row r="190" spans="2:7" ht="15" x14ac:dyDescent="0.25">
      <c r="B190" s="276" t="s">
        <v>579</v>
      </c>
      <c r="C190"/>
      <c r="D190"/>
      <c r="E190"/>
      <c r="F190"/>
      <c r="G190" s="273"/>
    </row>
    <row r="191" spans="2:7" ht="15" x14ac:dyDescent="0.25">
      <c r="B191" s="489" t="s">
        <v>551</v>
      </c>
      <c r="C191" s="488" t="s">
        <v>552</v>
      </c>
      <c r="D191" s="488"/>
      <c r="E191" s="488"/>
      <c r="F191"/>
      <c r="G191" s="273"/>
    </row>
    <row r="192" spans="2:7" ht="15" x14ac:dyDescent="0.25">
      <c r="B192" s="489"/>
      <c r="C192" s="288" t="s">
        <v>580</v>
      </c>
      <c r="D192" s="288" t="s">
        <v>581</v>
      </c>
      <c r="E192" s="288" t="s">
        <v>582</v>
      </c>
      <c r="F192"/>
      <c r="G192" s="273"/>
    </row>
    <row r="193" spans="2:7" ht="15" x14ac:dyDescent="0.25">
      <c r="B193" s="301" t="s">
        <v>557</v>
      </c>
      <c r="C193" s="302">
        <v>0.24</v>
      </c>
      <c r="D193" s="302">
        <v>0.24</v>
      </c>
      <c r="E193" s="302">
        <v>0.25</v>
      </c>
      <c r="F193"/>
      <c r="G193" s="273"/>
    </row>
    <row r="194" spans="2:7" ht="15" x14ac:dyDescent="0.25">
      <c r="B194" s="301" t="s">
        <v>583</v>
      </c>
      <c r="C194" s="302">
        <v>0.14000000000000001</v>
      </c>
      <c r="D194" s="302">
        <v>0.14000000000000001</v>
      </c>
      <c r="E194" s="302">
        <v>0.35</v>
      </c>
      <c r="F194"/>
      <c r="G194" s="273"/>
    </row>
    <row r="195" spans="2:7" ht="15" x14ac:dyDescent="0.25">
      <c r="B195" s="301" t="s">
        <v>584</v>
      </c>
      <c r="C195" s="302">
        <v>0.1</v>
      </c>
      <c r="D195" s="302">
        <v>0.1</v>
      </c>
      <c r="E195" s="302">
        <v>0.1</v>
      </c>
      <c r="F195"/>
      <c r="G195" s="273"/>
    </row>
    <row r="196" spans="2:7" ht="15" x14ac:dyDescent="0.25">
      <c r="B196" s="301" t="s">
        <v>559</v>
      </c>
      <c r="C196" s="302">
        <v>0.43</v>
      </c>
      <c r="D196" s="302">
        <v>0.43</v>
      </c>
      <c r="E196" s="302">
        <v>0.44</v>
      </c>
      <c r="F196"/>
      <c r="G196" s="273"/>
    </row>
    <row r="197" spans="2:7" ht="15" x14ac:dyDescent="0.25">
      <c r="B197" s="301" t="s">
        <v>567</v>
      </c>
      <c r="C197" s="302">
        <v>0.25</v>
      </c>
      <c r="D197" s="302">
        <v>0.25</v>
      </c>
      <c r="E197" s="302">
        <v>0.7</v>
      </c>
      <c r="F197"/>
      <c r="G197" s="273"/>
    </row>
    <row r="198" spans="2:7" ht="15" x14ac:dyDescent="0.25">
      <c r="B198" s="301" t="s">
        <v>585</v>
      </c>
      <c r="C198" s="302">
        <v>0.35</v>
      </c>
      <c r="D198" s="302">
        <v>0.14000000000000001</v>
      </c>
      <c r="E198" s="302">
        <v>0.53</v>
      </c>
      <c r="F198"/>
      <c r="G198" s="273"/>
    </row>
    <row r="199" spans="2:7" ht="15" x14ac:dyDescent="0.25">
      <c r="B199" s="301" t="s">
        <v>586</v>
      </c>
      <c r="C199" s="302">
        <v>0.05</v>
      </c>
      <c r="D199" s="302">
        <v>0.05</v>
      </c>
      <c r="E199" s="302">
        <v>0.05</v>
      </c>
      <c r="F199"/>
      <c r="G199" s="273"/>
    </row>
    <row r="200" spans="2:7" ht="15" x14ac:dyDescent="0.25">
      <c r="B200" s="301" t="s">
        <v>587</v>
      </c>
      <c r="C200" s="303" t="s">
        <v>515</v>
      </c>
      <c r="D200" s="303" t="s">
        <v>515</v>
      </c>
      <c r="E200" s="302">
        <v>0.03</v>
      </c>
      <c r="F200"/>
      <c r="G200" s="273"/>
    </row>
    <row r="201" spans="2:7" ht="15" x14ac:dyDescent="0.25">
      <c r="B201" s="301" t="s">
        <v>562</v>
      </c>
      <c r="C201" s="303" t="s">
        <v>515</v>
      </c>
      <c r="D201" s="303" t="s">
        <v>515</v>
      </c>
      <c r="E201" s="302">
        <v>0.21</v>
      </c>
      <c r="F201"/>
      <c r="G201" s="273"/>
    </row>
    <row r="202" spans="2:7" ht="15" x14ac:dyDescent="0.25">
      <c r="B202" s="268" t="s">
        <v>456</v>
      </c>
      <c r="C202"/>
      <c r="D202"/>
      <c r="E202"/>
      <c r="F202"/>
      <c r="G202" s="273"/>
    </row>
    <row r="203" spans="2:7" ht="15" x14ac:dyDescent="0.25">
      <c r="B203" s="276" t="s">
        <v>588</v>
      </c>
      <c r="C203"/>
      <c r="D203"/>
      <c r="E203"/>
      <c r="F203"/>
      <c r="G203" s="273"/>
    </row>
    <row r="204" spans="2:7" ht="47.25" x14ac:dyDescent="0.25">
      <c r="B204" s="287" t="s">
        <v>589</v>
      </c>
      <c r="C204" s="305" t="s">
        <v>590</v>
      </c>
      <c r="D204" s="305" t="s">
        <v>591</v>
      </c>
      <c r="E204"/>
      <c r="F204"/>
      <c r="G204" s="273"/>
    </row>
    <row r="205" spans="2:7" ht="17.25" x14ac:dyDescent="0.25">
      <c r="B205" s="301" t="s">
        <v>592</v>
      </c>
      <c r="C205" s="302">
        <v>0.35</v>
      </c>
      <c r="D205" s="302">
        <v>0.42</v>
      </c>
      <c r="E205"/>
      <c r="F205"/>
      <c r="G205" s="273"/>
    </row>
    <row r="206" spans="2:7" ht="17.25" x14ac:dyDescent="0.25">
      <c r="B206" s="301" t="s">
        <v>593</v>
      </c>
      <c r="C206" s="302">
        <v>0.7</v>
      </c>
      <c r="D206" s="302">
        <v>0.84</v>
      </c>
      <c r="E206"/>
      <c r="F206"/>
      <c r="G206" s="273"/>
    </row>
    <row r="207" spans="2:7" ht="17.25" x14ac:dyDescent="0.25">
      <c r="B207" s="301" t="s">
        <v>594</v>
      </c>
      <c r="C207" s="302">
        <v>1.76</v>
      </c>
      <c r="D207" s="302">
        <v>1.69</v>
      </c>
      <c r="E207"/>
      <c r="F207"/>
      <c r="G207" s="273"/>
    </row>
    <row r="208" spans="2:7" ht="15" x14ac:dyDescent="0.25">
      <c r="B208" s="301" t="s">
        <v>595</v>
      </c>
      <c r="C208" s="302">
        <v>2.11</v>
      </c>
      <c r="D208" s="302">
        <v>2.11</v>
      </c>
      <c r="E208"/>
      <c r="F208"/>
      <c r="G208" s="273"/>
    </row>
    <row r="209" spans="2:7" ht="15" x14ac:dyDescent="0.25">
      <c r="B209" s="301" t="s">
        <v>596</v>
      </c>
      <c r="C209" s="302">
        <v>3.52</v>
      </c>
      <c r="D209" s="302">
        <v>3.8</v>
      </c>
      <c r="E209"/>
      <c r="F209"/>
      <c r="G209" s="273"/>
    </row>
    <row r="210" spans="2:7" ht="15" x14ac:dyDescent="0.25">
      <c r="B210" s="301" t="s">
        <v>597</v>
      </c>
      <c r="C210" s="302">
        <v>3.87</v>
      </c>
      <c r="D210" s="302">
        <v>4.22</v>
      </c>
      <c r="E210"/>
      <c r="F210"/>
      <c r="G210" s="273"/>
    </row>
    <row r="211" spans="2:7" ht="15" x14ac:dyDescent="0.25">
      <c r="B211" s="301" t="s">
        <v>598</v>
      </c>
      <c r="C211" s="302">
        <v>5.63</v>
      </c>
      <c r="D211" s="302">
        <v>4.22</v>
      </c>
      <c r="E211"/>
      <c r="F211"/>
      <c r="G211" s="273"/>
    </row>
    <row r="212" spans="2:7" ht="17.25" x14ac:dyDescent="0.25">
      <c r="B212" s="301" t="s">
        <v>599</v>
      </c>
      <c r="C212" s="302">
        <v>3.87</v>
      </c>
      <c r="D212" s="302">
        <v>4.22</v>
      </c>
      <c r="E212"/>
      <c r="F212"/>
      <c r="G212" s="273"/>
    </row>
    <row r="213" spans="2:7" ht="15" x14ac:dyDescent="0.25">
      <c r="B213" s="304"/>
      <c r="C213" s="271"/>
      <c r="D213" s="272"/>
      <c r="E213"/>
      <c r="F213"/>
      <c r="G213" s="273"/>
    </row>
    <row r="214" spans="2:7" ht="15" x14ac:dyDescent="0.25">
      <c r="B214" s="485" t="s">
        <v>600</v>
      </c>
      <c r="C214" s="486"/>
      <c r="D214" s="487"/>
      <c r="E214"/>
      <c r="F214"/>
      <c r="G214" s="273"/>
    </row>
    <row r="215" spans="2:7" ht="15" x14ac:dyDescent="0.25">
      <c r="B215" s="485" t="s">
        <v>601</v>
      </c>
      <c r="C215" s="486"/>
      <c r="D215" s="487"/>
      <c r="E215"/>
      <c r="F215"/>
      <c r="G215" s="273"/>
    </row>
    <row r="216" spans="2:7" ht="15" x14ac:dyDescent="0.25">
      <c r="B216" s="503" t="s">
        <v>602</v>
      </c>
      <c r="C216" s="504"/>
      <c r="D216" s="505"/>
      <c r="E216"/>
      <c r="F216"/>
      <c r="G216" s="273"/>
    </row>
    <row r="217" spans="2:7" ht="15" x14ac:dyDescent="0.25">
      <c r="B217" s="268" t="s">
        <v>456</v>
      </c>
      <c r="C217"/>
      <c r="D217"/>
      <c r="E217"/>
      <c r="F217"/>
      <c r="G217" s="273"/>
    </row>
    <row r="218" spans="2:7" ht="15" x14ac:dyDescent="0.25">
      <c r="B218" s="276" t="s">
        <v>603</v>
      </c>
      <c r="C218"/>
      <c r="D218"/>
      <c r="E218"/>
      <c r="F218"/>
      <c r="G218" s="273"/>
    </row>
    <row r="219" spans="2:7" ht="32.25" x14ac:dyDescent="0.25">
      <c r="B219" s="287" t="s">
        <v>604</v>
      </c>
      <c r="C219" s="305" t="s">
        <v>605</v>
      </c>
      <c r="D219" s="305" t="s">
        <v>606</v>
      </c>
      <c r="E219"/>
      <c r="F219"/>
      <c r="G219" s="273"/>
    </row>
    <row r="220" spans="2:7" ht="17.25" x14ac:dyDescent="0.25">
      <c r="B220" s="301" t="s">
        <v>607</v>
      </c>
      <c r="C220" s="303" t="s">
        <v>608</v>
      </c>
      <c r="D220" s="302">
        <v>8.06</v>
      </c>
      <c r="E220"/>
      <c r="F220"/>
      <c r="G220" s="273"/>
    </row>
    <row r="221" spans="2:7" ht="17.25" x14ac:dyDescent="0.25">
      <c r="B221" s="301" t="s">
        <v>609</v>
      </c>
      <c r="C221" s="303" t="s">
        <v>610</v>
      </c>
      <c r="D221" s="302">
        <v>7.18</v>
      </c>
      <c r="E221"/>
      <c r="F221"/>
      <c r="G221" s="273"/>
    </row>
    <row r="222" spans="2:7" ht="15" x14ac:dyDescent="0.25">
      <c r="B222" s="304"/>
      <c r="C222" s="271"/>
      <c r="D222" s="272"/>
      <c r="E222"/>
      <c r="F222"/>
      <c r="G222" s="273"/>
    </row>
    <row r="223" spans="2:7" ht="64.5" customHeight="1" x14ac:dyDescent="0.25">
      <c r="B223" s="485" t="s">
        <v>611</v>
      </c>
      <c r="C223" s="486"/>
      <c r="D223" s="487"/>
      <c r="E223"/>
      <c r="F223"/>
      <c r="G223" s="273"/>
    </row>
    <row r="224" spans="2:7" ht="69.75" customHeight="1" x14ac:dyDescent="0.25">
      <c r="B224" s="485" t="s">
        <v>612</v>
      </c>
      <c r="C224" s="486"/>
      <c r="D224" s="487"/>
      <c r="E224"/>
      <c r="F224"/>
      <c r="G224" s="273"/>
    </row>
    <row r="225" spans="2:7" ht="69.75" customHeight="1" x14ac:dyDescent="0.25">
      <c r="B225" s="485" t="s">
        <v>613</v>
      </c>
      <c r="C225" s="486"/>
      <c r="D225" s="487"/>
      <c r="E225"/>
      <c r="F225"/>
      <c r="G225" s="273"/>
    </row>
    <row r="226" spans="2:7" ht="102.75" customHeight="1" x14ac:dyDescent="0.25">
      <c r="B226" s="503" t="s">
        <v>614</v>
      </c>
      <c r="C226" s="504"/>
      <c r="D226" s="505"/>
      <c r="E226"/>
      <c r="F226"/>
      <c r="G226" s="273"/>
    </row>
    <row r="227" spans="2:7" ht="15" x14ac:dyDescent="0.25">
      <c r="B227" s="268" t="s">
        <v>456</v>
      </c>
      <c r="C227"/>
      <c r="D227"/>
      <c r="E227"/>
      <c r="F227"/>
      <c r="G227" s="273"/>
    </row>
    <row r="228" spans="2:7" ht="15" x14ac:dyDescent="0.25">
      <c r="B228" s="276" t="s">
        <v>615</v>
      </c>
      <c r="C228"/>
      <c r="D228"/>
      <c r="E228"/>
      <c r="F228"/>
      <c r="G228" s="273"/>
    </row>
    <row r="229" spans="2:7" ht="15" x14ac:dyDescent="0.25">
      <c r="B229" s="489" t="s">
        <v>616</v>
      </c>
      <c r="C229" s="500" t="s">
        <v>617</v>
      </c>
      <c r="D229" s="501"/>
      <c r="E229" s="501"/>
      <c r="F229" s="501"/>
      <c r="G229" s="502"/>
    </row>
    <row r="230" spans="2:7" ht="18.75" x14ac:dyDescent="0.25">
      <c r="B230" s="489"/>
      <c r="C230" s="288" t="s">
        <v>618</v>
      </c>
      <c r="D230" s="288" t="s">
        <v>619</v>
      </c>
      <c r="E230" s="288" t="s">
        <v>620</v>
      </c>
      <c r="F230" s="288" t="s">
        <v>621</v>
      </c>
      <c r="G230" s="288" t="s">
        <v>622</v>
      </c>
    </row>
    <row r="231" spans="2:7" ht="15" x14ac:dyDescent="0.25">
      <c r="B231" s="301" t="s">
        <v>623</v>
      </c>
      <c r="C231" s="306">
        <v>0.14299999999999999</v>
      </c>
      <c r="D231" s="307">
        <v>2E-3</v>
      </c>
      <c r="E231" s="306">
        <v>1.7999999999999999E-2</v>
      </c>
      <c r="F231" s="306" t="s">
        <v>515</v>
      </c>
      <c r="G231" s="306">
        <v>0.11</v>
      </c>
    </row>
    <row r="232" spans="2:7" ht="15" x14ac:dyDescent="0.25">
      <c r="B232" s="301" t="s">
        <v>624</v>
      </c>
      <c r="C232" s="306">
        <v>0.03</v>
      </c>
      <c r="D232" s="307">
        <v>2.0000000000000001E-4</v>
      </c>
      <c r="E232" s="306">
        <v>0.10199999999999999</v>
      </c>
      <c r="F232" s="306" t="s">
        <v>515</v>
      </c>
      <c r="G232" s="306">
        <v>0.113</v>
      </c>
    </row>
    <row r="233" spans="2:7" ht="15" x14ac:dyDescent="0.25">
      <c r="B233" s="301" t="s">
        <v>625</v>
      </c>
      <c r="C233" s="306">
        <v>0.12</v>
      </c>
      <c r="D233" s="307">
        <v>1.1000000000000001E-3</v>
      </c>
      <c r="E233" s="306">
        <v>4.2000000000000003E-2</v>
      </c>
      <c r="F233" s="306">
        <v>1.2999999999999999E-2</v>
      </c>
      <c r="G233" s="306">
        <v>0.111</v>
      </c>
    </row>
    <row r="234" spans="2:7" ht="15" x14ac:dyDescent="0.25">
      <c r="B234" s="301" t="s">
        <v>626</v>
      </c>
      <c r="C234" s="306">
        <v>0.35799999999999998</v>
      </c>
      <c r="D234" s="307">
        <v>4.53E-2</v>
      </c>
      <c r="E234" s="306">
        <v>1.7000000000000001E-2</v>
      </c>
      <c r="F234" s="306" t="s">
        <v>515</v>
      </c>
      <c r="G234" s="306">
        <v>0.314</v>
      </c>
    </row>
    <row r="235" spans="2:7" ht="15" x14ac:dyDescent="0.25">
      <c r="B235" s="301" t="s">
        <v>627</v>
      </c>
      <c r="C235" s="306">
        <v>7.8E-2</v>
      </c>
      <c r="D235" s="307">
        <v>3.8E-3</v>
      </c>
      <c r="E235" s="306">
        <v>2.9000000000000001E-2</v>
      </c>
      <c r="F235" s="306" t="s">
        <v>515</v>
      </c>
      <c r="G235" s="306">
        <v>0.31</v>
      </c>
    </row>
    <row r="236" spans="2:7" ht="15" x14ac:dyDescent="0.25">
      <c r="B236" s="301" t="s">
        <v>628</v>
      </c>
      <c r="C236" s="306">
        <v>0.245</v>
      </c>
      <c r="D236" s="307">
        <v>2.2800000000000001E-2</v>
      </c>
      <c r="E236" s="306">
        <v>2.1999999999999999E-2</v>
      </c>
      <c r="F236" s="306">
        <v>3.6999999999999998E-2</v>
      </c>
      <c r="G236" s="306">
        <v>0.312</v>
      </c>
    </row>
    <row r="237" spans="2:7" ht="15" x14ac:dyDescent="0.25">
      <c r="B237" s="301" t="s">
        <v>629</v>
      </c>
      <c r="C237" s="306">
        <v>0.159</v>
      </c>
      <c r="D237" s="307">
        <v>5.3E-3</v>
      </c>
      <c r="E237" s="306">
        <v>1.7999999999999999E-2</v>
      </c>
      <c r="F237" s="306" t="s">
        <v>515</v>
      </c>
      <c r="G237" s="306">
        <v>0.128</v>
      </c>
    </row>
    <row r="238" spans="2:7" ht="15" x14ac:dyDescent="0.25">
      <c r="B238" s="301" t="s">
        <v>630</v>
      </c>
      <c r="C238" s="306">
        <v>3.6999999999999998E-2</v>
      </c>
      <c r="D238" s="307">
        <v>6.9999999999999999E-4</v>
      </c>
      <c r="E238" s="306">
        <v>9.0999999999999998E-2</v>
      </c>
      <c r="F238" s="306" t="s">
        <v>515</v>
      </c>
      <c r="G238" s="306">
        <v>0.14499999999999999</v>
      </c>
    </row>
    <row r="239" spans="2:7" ht="15" x14ac:dyDescent="0.25">
      <c r="B239" s="301" t="s">
        <v>631</v>
      </c>
      <c r="C239" s="306">
        <v>0.13300000000000001</v>
      </c>
      <c r="D239" s="307">
        <v>3.2000000000000002E-3</v>
      </c>
      <c r="E239" s="306">
        <v>0.04</v>
      </c>
      <c r="F239" s="306">
        <v>1.4999999999999999E-2</v>
      </c>
      <c r="G239" s="306">
        <v>0.13300000000000001</v>
      </c>
    </row>
    <row r="240" spans="2:7" ht="15" x14ac:dyDescent="0.25">
      <c r="B240" s="304"/>
      <c r="C240" s="271"/>
      <c r="D240" s="271"/>
      <c r="E240" s="272"/>
      <c r="F240"/>
      <c r="G240" s="273"/>
    </row>
    <row r="241" spans="2:7" ht="15" x14ac:dyDescent="0.25">
      <c r="B241" s="485" t="s">
        <v>632</v>
      </c>
      <c r="C241" s="486"/>
      <c r="D241" s="486"/>
      <c r="E241" s="486"/>
      <c r="F241" s="486"/>
      <c r="G241" s="487"/>
    </row>
    <row r="242" spans="2:7" ht="15" x14ac:dyDescent="0.25">
      <c r="B242" s="493" t="s">
        <v>633</v>
      </c>
      <c r="C242" s="493"/>
      <c r="D242" s="493"/>
      <c r="E242" s="493"/>
      <c r="F242" s="493"/>
      <c r="G242" s="494"/>
    </row>
  </sheetData>
  <mergeCells count="35">
    <mergeCell ref="B20:C20"/>
    <mergeCell ref="B21:C21"/>
    <mergeCell ref="B36:C36"/>
    <mergeCell ref="B37:C37"/>
    <mergeCell ref="B160:C160"/>
    <mergeCell ref="B38:C38"/>
    <mergeCell ref="B39:C39"/>
    <mergeCell ref="B40:C40"/>
    <mergeCell ref="B49:C49"/>
    <mergeCell ref="B56:C56"/>
    <mergeCell ref="B57:C57"/>
    <mergeCell ref="B111:F111"/>
    <mergeCell ref="B112:F112"/>
    <mergeCell ref="B242:G242"/>
    <mergeCell ref="C60:E60"/>
    <mergeCell ref="B74:E74"/>
    <mergeCell ref="B75:E75"/>
    <mergeCell ref="C229:G229"/>
    <mergeCell ref="B241:G241"/>
    <mergeCell ref="B226:D226"/>
    <mergeCell ref="B229:B230"/>
    <mergeCell ref="B214:D214"/>
    <mergeCell ref="B215:D215"/>
    <mergeCell ref="B216:D216"/>
    <mergeCell ref="B223:D223"/>
    <mergeCell ref="B224:D224"/>
    <mergeCell ref="B188:E188"/>
    <mergeCell ref="B191:B192"/>
    <mergeCell ref="C191:E191"/>
    <mergeCell ref="B225:D225"/>
    <mergeCell ref="C163:E163"/>
    <mergeCell ref="B163:B164"/>
    <mergeCell ref="B148:C148"/>
    <mergeCell ref="B149:C149"/>
    <mergeCell ref="B159:C159"/>
  </mergeCells>
  <hyperlinks>
    <hyperlink ref="B3" r:id="rId1" display="Tables A-1 through A-4 come from USDOT BCA Guidance (March 2022, Revised)" xr:uid="{68918682-7B21-4C2E-A89E-E2125912E2A4}"/>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D82D5-0E16-421D-B63A-1C692B447500}">
  <sheetPr>
    <tabColor theme="6"/>
  </sheetPr>
  <dimension ref="A1:Q124"/>
  <sheetViews>
    <sheetView zoomScaleNormal="100" workbookViewId="0">
      <selection activeCell="F26" sqref="F26"/>
    </sheetView>
  </sheetViews>
  <sheetFormatPr defaultRowHeight="15" x14ac:dyDescent="0.25"/>
  <cols>
    <col min="1" max="1" width="28.5703125" customWidth="1"/>
    <col min="2" max="2" width="19.7109375" customWidth="1"/>
    <col min="3" max="3" width="1.140625" hidden="1" customWidth="1"/>
    <col min="4" max="4" width="20" customWidth="1"/>
    <col min="5" max="8" width="15" customWidth="1"/>
    <col min="9" max="9" width="19.28515625" customWidth="1"/>
    <col min="10" max="10" width="20.28515625" customWidth="1"/>
    <col min="11" max="11" width="47.42578125" customWidth="1"/>
    <col min="12" max="12" width="22.42578125" customWidth="1"/>
    <col min="13" max="13" width="19.28515625" customWidth="1"/>
    <col min="14" max="14" width="20.28515625" customWidth="1"/>
    <col min="15" max="15" width="13.42578125" customWidth="1"/>
    <col min="16" max="16" width="24.7109375" customWidth="1"/>
    <col min="17" max="17" width="14.28515625" bestFit="1" customWidth="1"/>
    <col min="18" max="35" width="5.5703125" customWidth="1"/>
  </cols>
  <sheetData>
    <row r="1" spans="1:13" ht="27" thickBot="1" x14ac:dyDescent="0.45">
      <c r="A1" s="191" t="s">
        <v>634</v>
      </c>
      <c r="B1" s="191">
        <f>Inputs!E13</f>
        <v>2023</v>
      </c>
      <c r="J1" s="358" t="s">
        <v>259</v>
      </c>
      <c r="K1" s="359">
        <f>Summary!$E$9</f>
        <v>1.8138898580989069</v>
      </c>
    </row>
    <row r="2" spans="1:13" ht="19.5" thickBot="1" x14ac:dyDescent="0.3">
      <c r="A2" s="517" t="s">
        <v>635</v>
      </c>
      <c r="B2" s="345" t="s">
        <v>636</v>
      </c>
      <c r="C2" s="344"/>
      <c r="D2" s="519" t="s">
        <v>637</v>
      </c>
      <c r="E2" s="519"/>
      <c r="F2" s="519"/>
      <c r="G2" s="519"/>
      <c r="H2" s="519"/>
      <c r="I2" s="520"/>
    </row>
    <row r="3" spans="1:13" ht="30.75" thickBot="1" x14ac:dyDescent="0.3">
      <c r="A3" s="518"/>
      <c r="B3" s="347" t="s">
        <v>638</v>
      </c>
      <c r="C3" s="346"/>
      <c r="D3" s="14" t="s">
        <v>639</v>
      </c>
      <c r="E3" s="14" t="s">
        <v>640</v>
      </c>
      <c r="F3" s="14" t="s">
        <v>641</v>
      </c>
      <c r="G3" s="14" t="s">
        <v>642</v>
      </c>
      <c r="H3" s="165" t="s">
        <v>247</v>
      </c>
      <c r="I3" s="172" t="s">
        <v>643</v>
      </c>
    </row>
    <row r="4" spans="1:13" ht="15.75" thickBot="1" x14ac:dyDescent="0.3">
      <c r="A4" s="15">
        <v>2022</v>
      </c>
      <c r="B4" s="177">
        <f>B23*VLOOKUP(B$20,'REF GDP Deflator'!$C$36:$E$56,3)</f>
        <v>0</v>
      </c>
      <c r="C4" s="156"/>
      <c r="D4" s="177">
        <f>D23*(1+$D$19)*VLOOKUP(D$20,'REF GDP Deflator'!$C$36:$E$56,3)</f>
        <v>0</v>
      </c>
      <c r="E4" s="177">
        <f>E23*VLOOKUP(E$20,'REF GDP Deflator'!$C$36:$E$56,3)</f>
        <v>0</v>
      </c>
      <c r="F4" s="177">
        <f>F23*VLOOKUP(F$20,'REF GDP Deflator'!$C$36:$E$56,3)</f>
        <v>0</v>
      </c>
      <c r="G4" s="177">
        <f>G23*VLOOKUP(G$20,'REF GDP Deflator'!$C$36:$E$56,3)</f>
        <v>0</v>
      </c>
      <c r="H4" s="177">
        <f>H23*VLOOKUP(H$20,'REF GDP Deflator'!$C$36:$E$56,3)</f>
        <v>0</v>
      </c>
      <c r="I4" s="174">
        <f>SUM(D4:H4)</f>
        <v>0</v>
      </c>
      <c r="M4" s="319" t="s">
        <v>644</v>
      </c>
    </row>
    <row r="5" spans="1:13" ht="15.75" thickBot="1" x14ac:dyDescent="0.3">
      <c r="A5" s="17">
        <v>2023</v>
      </c>
      <c r="B5" s="177">
        <f>B24*VLOOKUP(B$20,'REF GDP Deflator'!$C$36:$E$56,3)</f>
        <v>0</v>
      </c>
      <c r="C5" s="157"/>
      <c r="D5" s="177">
        <f>D24*(1+$D$19)*VLOOKUP(D$20,'REF GDP Deflator'!$C$36:$E$56,3)</f>
        <v>0</v>
      </c>
      <c r="E5" s="177">
        <f>E24*VLOOKUP(E$20,'REF GDP Deflator'!$C$36:$E$56,3)</f>
        <v>0</v>
      </c>
      <c r="F5" s="177">
        <f>F24*VLOOKUP(F$20,'REF GDP Deflator'!$C$36:$E$56,3)</f>
        <v>0</v>
      </c>
      <c r="G5" s="177">
        <f>G24*VLOOKUP(G$20,'REF GDP Deflator'!$C$36:$E$56,3)</f>
        <v>0</v>
      </c>
      <c r="H5" s="177">
        <f>H24*VLOOKUP(H$20,'REF GDP Deflator'!$C$36:$E$56,3)</f>
        <v>0</v>
      </c>
      <c r="I5" s="174">
        <f t="shared" ref="I5:I16" si="0">SUM(D5:H5)</f>
        <v>0</v>
      </c>
      <c r="K5" s="319" t="s">
        <v>645</v>
      </c>
      <c r="L5" s="319">
        <v>2023</v>
      </c>
      <c r="M5" s="343">
        <f>VLOOKUP(L5,'REF GDP Deflator'!C36:E56,3)</f>
        <v>0.93344795178566098</v>
      </c>
    </row>
    <row r="6" spans="1:13" x14ac:dyDescent="0.25">
      <c r="A6" s="19">
        <v>2024</v>
      </c>
      <c r="B6" s="177">
        <f>B25*VLOOKUP(B$20,'REF GDP Deflator'!$C$36:$E$56,3)</f>
        <v>0</v>
      </c>
      <c r="C6" s="156"/>
      <c r="D6" s="177">
        <f>D25*(1+$D$19)*VLOOKUP(D$20,'REF GDP Deflator'!$C$36:$E$56,3)</f>
        <v>0</v>
      </c>
      <c r="E6" s="177">
        <f>E25*VLOOKUP(E$20,'REF GDP Deflator'!$C$36:$E$56,3)</f>
        <v>0</v>
      </c>
      <c r="F6" s="177">
        <f>F25*VLOOKUP(F$20,'REF GDP Deflator'!$C$36:$E$56,3)</f>
        <v>240113.61698168094</v>
      </c>
      <c r="G6" s="177">
        <f>G25*VLOOKUP(G$20,'REF GDP Deflator'!$C$36:$E$56,3)</f>
        <v>473760</v>
      </c>
      <c r="H6" s="177">
        <f>H25*VLOOKUP(H$20,'REF GDP Deflator'!$C$36:$E$56,3)</f>
        <v>1832708.372337172</v>
      </c>
      <c r="I6" s="178">
        <f t="shared" si="0"/>
        <v>2546581.9893188532</v>
      </c>
      <c r="K6" s="339" t="s">
        <v>20</v>
      </c>
      <c r="L6" s="339" t="s">
        <v>646</v>
      </c>
      <c r="M6" s="339" t="s">
        <v>647</v>
      </c>
    </row>
    <row r="7" spans="1:13" x14ac:dyDescent="0.25">
      <c r="A7" s="20">
        <v>2025</v>
      </c>
      <c r="B7" s="177">
        <f>B26*VLOOKUP(B$20,'REF GDP Deflator'!$C$36:$E$56,3)</f>
        <v>0</v>
      </c>
      <c r="C7" s="158"/>
      <c r="D7" s="177">
        <f>D26*(1+$D$19)*VLOOKUP(D$20,'REF GDP Deflator'!$C$36:$E$56,3)</f>
        <v>12394464.254622653</v>
      </c>
      <c r="E7" s="177">
        <f>E26*VLOOKUP(E$20,'REF GDP Deflator'!$C$36:$E$56,3)</f>
        <v>0</v>
      </c>
      <c r="F7" s="177">
        <f>F26*VLOOKUP(F$20,'REF GDP Deflator'!$C$36:$E$56,3)</f>
        <v>0</v>
      </c>
      <c r="G7" s="177">
        <f>G26*VLOOKUP(G$20,'REF GDP Deflator'!$C$36:$E$56,3)</f>
        <v>0</v>
      </c>
      <c r="H7" s="177">
        <f>H26*VLOOKUP(H$20,'REF GDP Deflator'!$C$36:$E$56,3)</f>
        <v>0</v>
      </c>
      <c r="I7" s="178">
        <f t="shared" si="0"/>
        <v>12394464.254622653</v>
      </c>
      <c r="K7" s="340" t="s">
        <v>648</v>
      </c>
      <c r="L7" s="341">
        <f>L104</f>
        <v>7523574</v>
      </c>
      <c r="M7" s="342">
        <f>L104*$M$5</f>
        <v>7022864.7404078525</v>
      </c>
    </row>
    <row r="8" spans="1:13" ht="15.75" thickBot="1" x14ac:dyDescent="0.3">
      <c r="A8" s="21">
        <v>2026</v>
      </c>
      <c r="B8" s="177">
        <f>B27*VLOOKUP(B$20,'REF GDP Deflator'!$C$36:$E$56,3)</f>
        <v>0</v>
      </c>
      <c r="C8" s="159"/>
      <c r="D8" s="177">
        <f>D27*(1+$D$19)*VLOOKUP(D$20,'REF GDP Deflator'!$C$36:$E$56,3)</f>
        <v>12394464.254622653</v>
      </c>
      <c r="E8" s="177">
        <f>E27*VLOOKUP(E$20,'REF GDP Deflator'!$C$36:$E$56,3)</f>
        <v>0</v>
      </c>
      <c r="F8" s="177">
        <f>F27*VLOOKUP(F$20,'REF GDP Deflator'!$C$36:$E$56,3)</f>
        <v>0</v>
      </c>
      <c r="G8" s="177">
        <f>G27*VLOOKUP(G$20,'REF GDP Deflator'!$C$36:$E$56,3)</f>
        <v>0</v>
      </c>
      <c r="H8" s="177">
        <f>H27*VLOOKUP(H$20,'REF GDP Deflator'!$C$36:$E$56,3)</f>
        <v>0</v>
      </c>
      <c r="I8" s="178">
        <f t="shared" si="0"/>
        <v>12394464.254622653</v>
      </c>
    </row>
    <row r="9" spans="1:13" ht="15.75" thickBot="1" x14ac:dyDescent="0.3">
      <c r="A9" s="15">
        <v>2027</v>
      </c>
      <c r="B9" s="177">
        <f>B28*VLOOKUP(B$20,'REF GDP Deflator'!$C$36:$E$56,3)</f>
        <v>0</v>
      </c>
      <c r="C9" s="159"/>
      <c r="D9" s="177">
        <f>D28*(1+$D$19)*VLOOKUP(D$20,'REF GDP Deflator'!$C$36:$E$56,3)</f>
        <v>0</v>
      </c>
      <c r="E9" s="177">
        <f>E28*VLOOKUP(E$20,'REF GDP Deflator'!$C$36:$E$56,3)</f>
        <v>326706.78312498133</v>
      </c>
      <c r="F9" s="177">
        <f>F28*VLOOKUP(F$20,'REF GDP Deflator'!$C$36:$E$56,3)</f>
        <v>0</v>
      </c>
      <c r="G9" s="177">
        <f>G28*VLOOKUP(G$20,'REF GDP Deflator'!$C$36:$E$56,3)</f>
        <v>0</v>
      </c>
      <c r="H9" s="177">
        <f>H28*VLOOKUP(H$20,'REF GDP Deflator'!$C$36:$E$56,3)</f>
        <v>0</v>
      </c>
      <c r="I9" s="178">
        <f t="shared" si="0"/>
        <v>326706.78312498133</v>
      </c>
    </row>
    <row r="10" spans="1:13" ht="15.75" thickBot="1" x14ac:dyDescent="0.3">
      <c r="A10" s="15">
        <v>2030</v>
      </c>
      <c r="B10" s="177">
        <f>B29*VLOOKUP(B$20,'REF GDP Deflator'!$C$36:$E$56,3)</f>
        <v>1504718.0982784855</v>
      </c>
      <c r="C10" s="159"/>
      <c r="D10" s="177">
        <f>D29*(1+$D$19)*VLOOKUP(D$20,'REF GDP Deflator'!$C$36:$E$56,3)</f>
        <v>0</v>
      </c>
      <c r="E10" s="177">
        <f>E29*VLOOKUP(E$20,'REF GDP Deflator'!$C$36:$E$56,3)</f>
        <v>0</v>
      </c>
      <c r="F10" s="177">
        <f>F29*VLOOKUP(F$20,'REF GDP Deflator'!$C$36:$E$56,3)</f>
        <v>0</v>
      </c>
      <c r="G10" s="177">
        <f>G29*VLOOKUP(G$20,'REF GDP Deflator'!$C$36:$E$56,3)</f>
        <v>0</v>
      </c>
      <c r="H10" s="177">
        <f>H29*VLOOKUP(H$20,'REF GDP Deflator'!$C$36:$E$56,3)</f>
        <v>0</v>
      </c>
      <c r="I10" s="174">
        <f t="shared" si="0"/>
        <v>0</v>
      </c>
    </row>
    <row r="11" spans="1:13" ht="15.75" thickBot="1" x14ac:dyDescent="0.3">
      <c r="A11" s="15">
        <v>2035</v>
      </c>
      <c r="B11" s="177">
        <f>B30*VLOOKUP(B$20,'REF GDP Deflator'!$C$36:$E$56,3)</f>
        <v>933447.95178566093</v>
      </c>
      <c r="C11" s="159"/>
      <c r="D11" s="177">
        <f>D30*(1+$D$19)*VLOOKUP(D$20,'REF GDP Deflator'!$C$36:$E$56,3)</f>
        <v>0</v>
      </c>
      <c r="E11" s="177">
        <f>E30*VLOOKUP(E$20,'REF GDP Deflator'!$C$36:$E$56,3)</f>
        <v>0</v>
      </c>
      <c r="F11" s="177">
        <f>F30*VLOOKUP(F$20,'REF GDP Deflator'!$C$36:$E$56,3)</f>
        <v>0</v>
      </c>
      <c r="G11" s="177">
        <f>G30*VLOOKUP(G$20,'REF GDP Deflator'!$C$36:$E$56,3)</f>
        <v>0</v>
      </c>
      <c r="H11" s="177">
        <f>H30*VLOOKUP(H$20,'REF GDP Deflator'!$C$36:$E$56,3)</f>
        <v>0</v>
      </c>
      <c r="I11" s="174">
        <f t="shared" si="0"/>
        <v>0</v>
      </c>
    </row>
    <row r="12" spans="1:13" ht="15.75" thickBot="1" x14ac:dyDescent="0.3">
      <c r="A12" s="15">
        <v>2040</v>
      </c>
      <c r="B12" s="177">
        <f>B31*VLOOKUP(B$20,'REF GDP Deflator'!$C$36:$E$56,3)</f>
        <v>0</v>
      </c>
      <c r="C12" s="159"/>
      <c r="D12" s="177">
        <f>D31*(1+$D$19)*VLOOKUP(D$20,'REF GDP Deflator'!$C$36:$E$56,3)</f>
        <v>0</v>
      </c>
      <c r="E12" s="177">
        <f>E31*VLOOKUP(E$20,'REF GDP Deflator'!$C$36:$E$56,3)</f>
        <v>0</v>
      </c>
      <c r="F12" s="177">
        <f>F31*VLOOKUP(F$20,'REF GDP Deflator'!$C$36:$E$56,3)</f>
        <v>0</v>
      </c>
      <c r="G12" s="177">
        <f>G31*VLOOKUP(G$20,'REF GDP Deflator'!$C$36:$E$56,3)</f>
        <v>0</v>
      </c>
      <c r="H12" s="177">
        <f>H31*VLOOKUP(H$20,'REF GDP Deflator'!$C$36:$E$56,3)</f>
        <v>0</v>
      </c>
      <c r="I12" s="174">
        <f t="shared" si="0"/>
        <v>0</v>
      </c>
    </row>
    <row r="13" spans="1:13" ht="15.75" thickBot="1" x14ac:dyDescent="0.3">
      <c r="A13" s="15">
        <v>2045</v>
      </c>
      <c r="B13" s="177">
        <f>B32*VLOOKUP(B$20,'REF GDP Deflator'!$C$36:$E$56,3)</f>
        <v>1504718.0982784855</v>
      </c>
      <c r="C13" s="159"/>
      <c r="D13" s="177">
        <f>D32*(1+$D$19)*VLOOKUP(D$20,'REF GDP Deflator'!$C$36:$E$56,3)</f>
        <v>0</v>
      </c>
      <c r="E13" s="177">
        <f>E32*VLOOKUP(E$20,'REF GDP Deflator'!$C$36:$E$56,3)</f>
        <v>0</v>
      </c>
      <c r="F13" s="177">
        <f>F32*VLOOKUP(F$20,'REF GDP Deflator'!$C$36:$E$56,3)</f>
        <v>0</v>
      </c>
      <c r="G13" s="177">
        <f>G32*VLOOKUP(G$20,'REF GDP Deflator'!$C$36:$E$56,3)</f>
        <v>0</v>
      </c>
      <c r="H13" s="177">
        <f>H32*VLOOKUP(H$20,'REF GDP Deflator'!$C$36:$E$56,3)</f>
        <v>0</v>
      </c>
      <c r="I13" s="174">
        <f t="shared" si="0"/>
        <v>0</v>
      </c>
    </row>
    <row r="14" spans="1:13" ht="15.75" thickBot="1" x14ac:dyDescent="0.3">
      <c r="A14" s="17">
        <v>2050</v>
      </c>
      <c r="B14" s="177">
        <f>B33*VLOOKUP(B$20,'REF GDP Deflator'!$C$36:$E$56,3)</f>
        <v>0</v>
      </c>
      <c r="C14" s="159"/>
      <c r="D14" s="177">
        <f>D33*(1+$D$19)*VLOOKUP(D$20,'REF GDP Deflator'!$C$36:$E$56,3)</f>
        <v>0</v>
      </c>
      <c r="E14" s="177">
        <f>E33*VLOOKUP(E$20,'REF GDP Deflator'!$C$36:$E$56,3)</f>
        <v>0</v>
      </c>
      <c r="F14" s="177">
        <f>F33*VLOOKUP(F$20,'REF GDP Deflator'!$C$36:$E$56,3)</f>
        <v>0</v>
      </c>
      <c r="G14" s="177">
        <f>G33*VLOOKUP(G$20,'REF GDP Deflator'!$C$36:$E$56,3)</f>
        <v>0</v>
      </c>
      <c r="H14" s="177">
        <f>H33*VLOOKUP(H$20,'REF GDP Deflator'!$C$36:$E$56,3)</f>
        <v>0</v>
      </c>
      <c r="I14" s="174">
        <f t="shared" si="0"/>
        <v>0</v>
      </c>
    </row>
    <row r="15" spans="1:13" ht="15.75" thickBot="1" x14ac:dyDescent="0.3">
      <c r="A15" s="26">
        <v>2055</v>
      </c>
      <c r="B15" s="177">
        <f>B34*VLOOKUP(B$20,'REF GDP Deflator'!$C$36:$E$56,3)</f>
        <v>0</v>
      </c>
      <c r="C15" s="156"/>
      <c r="D15" s="177">
        <f>D34*(1+$D$19)*VLOOKUP(D$20,'REF GDP Deflator'!$C$36:$E$56,3)</f>
        <v>0</v>
      </c>
      <c r="E15" s="177">
        <f>E34*VLOOKUP(E$20,'REF GDP Deflator'!$C$36:$E$56,3)</f>
        <v>0</v>
      </c>
      <c r="F15" s="177">
        <f>F34*VLOOKUP(F$20,'REF GDP Deflator'!$C$36:$E$56,3)</f>
        <v>0</v>
      </c>
      <c r="G15" s="177">
        <f>G34*VLOOKUP(G$20,'REF GDP Deflator'!$C$36:$E$56,3)</f>
        <v>0</v>
      </c>
      <c r="H15" s="177">
        <f>H34*VLOOKUP(H$20,'REF GDP Deflator'!$C$36:$E$56,3)</f>
        <v>0</v>
      </c>
      <c r="I15" s="174">
        <f t="shared" si="0"/>
        <v>0</v>
      </c>
    </row>
    <row r="16" spans="1:13" ht="15.75" thickBot="1" x14ac:dyDescent="0.3">
      <c r="A16" s="26">
        <v>2060</v>
      </c>
      <c r="B16" s="177">
        <f>B35*VLOOKUP(B$20,'REF GDP Deflator'!$C$36:$E$56,3)</f>
        <v>0</v>
      </c>
      <c r="C16" s="160"/>
      <c r="D16" s="177">
        <f>D35*(1+$D$19)*VLOOKUP(D$20,'REF GDP Deflator'!$C$36:$E$56,3)</f>
        <v>0</v>
      </c>
      <c r="E16" s="177">
        <f>E35*VLOOKUP(E$20,'REF GDP Deflator'!$C$36:$E$56,3)</f>
        <v>0</v>
      </c>
      <c r="F16" s="177">
        <f>F35*VLOOKUP(F$20,'REF GDP Deflator'!$C$36:$E$56,3)</f>
        <v>0</v>
      </c>
      <c r="G16" s="177">
        <f>G35*VLOOKUP(G$20,'REF GDP Deflator'!$C$36:$E$56,3)</f>
        <v>0</v>
      </c>
      <c r="H16" s="177">
        <f>H35*VLOOKUP(H$20,'REF GDP Deflator'!$C$36:$E$56,3)</f>
        <v>0</v>
      </c>
      <c r="I16" s="174">
        <f t="shared" si="0"/>
        <v>0</v>
      </c>
    </row>
    <row r="17" spans="1:10" ht="16.5" thickBot="1" x14ac:dyDescent="0.3">
      <c r="A17" s="27" t="s">
        <v>649</v>
      </c>
      <c r="B17" s="161">
        <f>SUM(B4:B16)</f>
        <v>3942884.1483426318</v>
      </c>
      <c r="C17" s="162"/>
      <c r="D17" s="163">
        <f t="shared" ref="D17:I17" si="1">SUM(D4:D16)</f>
        <v>24788928.509245306</v>
      </c>
      <c r="E17" s="164">
        <f t="shared" si="1"/>
        <v>326706.78312498133</v>
      </c>
      <c r="F17" s="164">
        <f t="shared" si="1"/>
        <v>240113.61698168094</v>
      </c>
      <c r="G17" s="164">
        <f t="shared" si="1"/>
        <v>473760</v>
      </c>
      <c r="H17" s="161">
        <f t="shared" si="1"/>
        <v>1832708.372337172</v>
      </c>
      <c r="I17" s="173">
        <f t="shared" si="1"/>
        <v>27662217.281689141</v>
      </c>
      <c r="J17" s="360">
        <f>D17+F17+G17+H17</f>
        <v>27335510.498564161</v>
      </c>
    </row>
    <row r="18" spans="1:10" ht="15.75" x14ac:dyDescent="0.25">
      <c r="A18" s="261"/>
      <c r="B18" s="262"/>
      <c r="C18" s="262"/>
      <c r="D18" s="262"/>
      <c r="E18" s="262"/>
      <c r="F18" s="262"/>
      <c r="G18" s="262"/>
      <c r="H18" s="262"/>
      <c r="I18" s="263"/>
    </row>
    <row r="19" spans="1:10" x14ac:dyDescent="0.25">
      <c r="A19" t="s">
        <v>6</v>
      </c>
      <c r="D19" s="264">
        <f>Inputs!$E$37</f>
        <v>0</v>
      </c>
    </row>
    <row r="20" spans="1:10" ht="27" thickBot="1" x14ac:dyDescent="0.45">
      <c r="A20" s="191" t="s">
        <v>645</v>
      </c>
      <c r="B20" s="191">
        <f>Inputs!$E$19</f>
        <v>2023</v>
      </c>
      <c r="C20" s="191"/>
      <c r="D20" s="191">
        <f>Inputs!$E$18</f>
        <v>2023</v>
      </c>
      <c r="E20" s="191">
        <f>Inputs!$E$19</f>
        <v>2023</v>
      </c>
      <c r="F20" s="191">
        <v>2023</v>
      </c>
      <c r="G20" s="191">
        <f>Inputs!$E$21</f>
        <v>2022</v>
      </c>
      <c r="H20" s="191">
        <v>2023</v>
      </c>
    </row>
    <row r="21" spans="1:10" ht="19.5" thickBot="1" x14ac:dyDescent="0.3">
      <c r="A21" s="517" t="s">
        <v>635</v>
      </c>
      <c r="B21" s="13" t="s">
        <v>636</v>
      </c>
      <c r="C21" s="154"/>
      <c r="D21" s="519" t="s">
        <v>637</v>
      </c>
      <c r="E21" s="519"/>
      <c r="F21" s="519"/>
      <c r="G21" s="519"/>
      <c r="H21" s="519"/>
      <c r="I21" s="520"/>
    </row>
    <row r="22" spans="1:10" ht="30.75" thickBot="1" x14ac:dyDescent="0.3">
      <c r="A22" s="518"/>
      <c r="B22" s="147" t="s">
        <v>638</v>
      </c>
      <c r="C22" s="155"/>
      <c r="D22" s="14" t="s">
        <v>639</v>
      </c>
      <c r="E22" s="14" t="s">
        <v>640</v>
      </c>
      <c r="F22" s="14" t="s">
        <v>641</v>
      </c>
      <c r="G22" s="14" t="s">
        <v>642</v>
      </c>
      <c r="H22" s="165" t="s">
        <v>247</v>
      </c>
      <c r="I22" s="172" t="s">
        <v>643</v>
      </c>
    </row>
    <row r="23" spans="1:10" ht="15.75" thickBot="1" x14ac:dyDescent="0.3">
      <c r="A23" s="15">
        <v>2022</v>
      </c>
      <c r="B23" s="148"/>
      <c r="C23" s="156"/>
      <c r="D23" s="153"/>
      <c r="E23" s="16"/>
      <c r="F23" s="16"/>
      <c r="G23" s="16"/>
      <c r="H23" s="166"/>
      <c r="I23" s="174">
        <f>SUM(D23:H23)</f>
        <v>0</v>
      </c>
    </row>
    <row r="24" spans="1:10" ht="15.75" thickBot="1" x14ac:dyDescent="0.3">
      <c r="A24" s="17">
        <v>2023</v>
      </c>
      <c r="B24" s="149"/>
      <c r="C24" s="157"/>
      <c r="D24" s="18"/>
      <c r="E24" s="16"/>
      <c r="F24" s="16"/>
      <c r="G24" s="16"/>
      <c r="H24" s="166"/>
      <c r="I24" s="174">
        <f t="shared" ref="I24:I35" si="2">SUM(D24:H24)</f>
        <v>0</v>
      </c>
    </row>
    <row r="25" spans="1:10" x14ac:dyDescent="0.25">
      <c r="A25" s="19">
        <v>2024</v>
      </c>
      <c r="B25" s="148"/>
      <c r="C25" s="156"/>
      <c r="D25" s="18"/>
      <c r="E25" s="16"/>
      <c r="F25" s="335">
        <v>257233</v>
      </c>
      <c r="G25" s="335">
        <v>473760</v>
      </c>
      <c r="H25" s="337">
        <v>1963375</v>
      </c>
      <c r="I25" s="178">
        <f t="shared" si="2"/>
        <v>2694368</v>
      </c>
    </row>
    <row r="26" spans="1:10" x14ac:dyDescent="0.25">
      <c r="A26" s="20">
        <v>2025</v>
      </c>
      <c r="B26" s="150"/>
      <c r="C26" s="158"/>
      <c r="D26" s="338">
        <f>$L$124/2</f>
        <v>13278152.5</v>
      </c>
      <c r="E26" s="18"/>
      <c r="F26" s="18"/>
      <c r="G26" s="18"/>
      <c r="H26" s="168"/>
      <c r="I26" s="178">
        <f t="shared" si="2"/>
        <v>13278152.5</v>
      </c>
    </row>
    <row r="27" spans="1:10" ht="15.75" thickBot="1" x14ac:dyDescent="0.3">
      <c r="A27" s="21">
        <v>2026</v>
      </c>
      <c r="B27" s="151"/>
      <c r="C27" s="159"/>
      <c r="D27" s="338">
        <f>$L$124/2</f>
        <v>13278152.5</v>
      </c>
      <c r="E27" s="22"/>
      <c r="F27" s="22"/>
      <c r="G27" s="22"/>
      <c r="H27" s="167"/>
      <c r="I27" s="178">
        <f t="shared" si="2"/>
        <v>13278152.5</v>
      </c>
    </row>
    <row r="28" spans="1:10" ht="15.75" thickBot="1" x14ac:dyDescent="0.3">
      <c r="A28" s="15">
        <v>2027</v>
      </c>
      <c r="B28" s="151"/>
      <c r="C28" s="159"/>
      <c r="D28" s="16"/>
      <c r="E28" s="335">
        <v>350000</v>
      </c>
      <c r="F28" s="22"/>
      <c r="G28" s="22"/>
      <c r="H28" s="167"/>
      <c r="I28" s="178">
        <f t="shared" si="2"/>
        <v>350000</v>
      </c>
    </row>
    <row r="29" spans="1:10" ht="15.75" thickBot="1" x14ac:dyDescent="0.3">
      <c r="A29" s="15">
        <v>2030</v>
      </c>
      <c r="B29" s="335">
        <v>1612000</v>
      </c>
      <c r="C29" s="159"/>
      <c r="D29" s="16"/>
      <c r="E29" s="23"/>
      <c r="F29" s="23"/>
      <c r="G29" s="23"/>
      <c r="H29" s="169"/>
      <c r="I29" s="174">
        <f t="shared" si="2"/>
        <v>0</v>
      </c>
    </row>
    <row r="30" spans="1:10" ht="15.75" thickBot="1" x14ac:dyDescent="0.3">
      <c r="A30" s="15">
        <v>2035</v>
      </c>
      <c r="B30" s="335">
        <v>1000000</v>
      </c>
      <c r="C30" s="159"/>
      <c r="D30" s="16"/>
      <c r="E30" s="24"/>
      <c r="F30" s="24"/>
      <c r="G30" s="24"/>
      <c r="H30" s="170"/>
      <c r="I30" s="174">
        <f t="shared" si="2"/>
        <v>0</v>
      </c>
    </row>
    <row r="31" spans="1:10" ht="15.75" thickBot="1" x14ac:dyDescent="0.3">
      <c r="A31" s="15">
        <v>2040</v>
      </c>
      <c r="B31" s="336"/>
      <c r="C31" s="159"/>
      <c r="D31" s="16"/>
      <c r="E31" s="24"/>
      <c r="F31" s="24"/>
      <c r="G31" s="24"/>
      <c r="H31" s="170"/>
      <c r="I31" s="174">
        <f t="shared" si="2"/>
        <v>0</v>
      </c>
    </row>
    <row r="32" spans="1:10" ht="15.75" thickBot="1" x14ac:dyDescent="0.3">
      <c r="A32" s="15">
        <v>2045</v>
      </c>
      <c r="B32" s="335">
        <v>1612000</v>
      </c>
      <c r="C32" s="159"/>
      <c r="D32" s="153"/>
      <c r="E32" s="24"/>
      <c r="F32" s="24"/>
      <c r="G32" s="24"/>
      <c r="H32" s="170"/>
      <c r="I32" s="174">
        <f t="shared" si="2"/>
        <v>0</v>
      </c>
    </row>
    <row r="33" spans="1:17" ht="15.75" thickBot="1" x14ac:dyDescent="0.3">
      <c r="A33" s="17">
        <v>2050</v>
      </c>
      <c r="B33" s="151"/>
      <c r="C33" s="159"/>
      <c r="D33" s="153"/>
      <c r="E33" s="25"/>
      <c r="F33" s="25"/>
      <c r="G33" s="25"/>
      <c r="H33" s="171"/>
      <c r="I33" s="174">
        <f t="shared" si="2"/>
        <v>0</v>
      </c>
    </row>
    <row r="34" spans="1:17" ht="15.75" thickBot="1" x14ac:dyDescent="0.3">
      <c r="A34" s="26">
        <v>2055</v>
      </c>
      <c r="B34" s="148"/>
      <c r="C34" s="156"/>
      <c r="D34" s="153"/>
      <c r="E34" s="22"/>
      <c r="F34" s="22"/>
      <c r="G34" s="22"/>
      <c r="H34" s="167"/>
      <c r="I34" s="174">
        <f t="shared" si="2"/>
        <v>0</v>
      </c>
      <c r="Q34" s="320"/>
    </row>
    <row r="35" spans="1:17" ht="15.75" thickBot="1" x14ac:dyDescent="0.3">
      <c r="A35" s="26">
        <v>2060</v>
      </c>
      <c r="B35" s="152"/>
      <c r="C35" s="160"/>
      <c r="D35" s="153"/>
      <c r="E35" s="16"/>
      <c r="F35" s="16"/>
      <c r="G35" s="16"/>
      <c r="H35" s="166"/>
      <c r="I35" s="174">
        <f t="shared" si="2"/>
        <v>0</v>
      </c>
      <c r="P35" s="321"/>
      <c r="Q35" s="322"/>
    </row>
    <row r="36" spans="1:17" ht="16.5" thickBot="1" x14ac:dyDescent="0.3">
      <c r="A36" s="27" t="s">
        <v>649</v>
      </c>
      <c r="B36" s="161">
        <f>SUM(B23:B35)</f>
        <v>4224000</v>
      </c>
      <c r="C36" s="162"/>
      <c r="D36" s="163">
        <f t="shared" ref="D36:I36" si="3">SUM(D23:D35)</f>
        <v>26556305</v>
      </c>
      <c r="E36" s="164">
        <f t="shared" si="3"/>
        <v>350000</v>
      </c>
      <c r="F36" s="164">
        <f t="shared" si="3"/>
        <v>257233</v>
      </c>
      <c r="G36" s="164">
        <f t="shared" si="3"/>
        <v>473760</v>
      </c>
      <c r="H36" s="161">
        <f t="shared" si="3"/>
        <v>1963375</v>
      </c>
      <c r="I36" s="173">
        <f t="shared" si="3"/>
        <v>29600673</v>
      </c>
    </row>
    <row r="100" spans="12:13" x14ac:dyDescent="0.25">
      <c r="L100" s="334">
        <v>-237600</v>
      </c>
      <c r="M100" s="348" t="s">
        <v>650</v>
      </c>
    </row>
    <row r="101" spans="12:13" x14ac:dyDescent="0.25">
      <c r="L101" s="334">
        <v>-237600</v>
      </c>
      <c r="M101" s="348" t="s">
        <v>650</v>
      </c>
    </row>
    <row r="102" spans="12:13" x14ac:dyDescent="0.25">
      <c r="L102" s="334">
        <v>-134400</v>
      </c>
      <c r="M102" s="348" t="s">
        <v>650</v>
      </c>
    </row>
    <row r="103" spans="12:13" x14ac:dyDescent="0.25">
      <c r="L103" s="334">
        <v>8133174</v>
      </c>
      <c r="M103" s="348" t="s">
        <v>651</v>
      </c>
    </row>
    <row r="104" spans="12:13" x14ac:dyDescent="0.25">
      <c r="L104" s="334">
        <f>SUM(L100:L103)</f>
        <v>7523574</v>
      </c>
      <c r="M104" s="348" t="s">
        <v>652</v>
      </c>
    </row>
    <row r="124" spans="12:12" x14ac:dyDescent="0.25">
      <c r="L124" s="334">
        <v>26556305</v>
      </c>
    </row>
  </sheetData>
  <mergeCells count="4">
    <mergeCell ref="A2:A3"/>
    <mergeCell ref="D2:I2"/>
    <mergeCell ref="A21:A22"/>
    <mergeCell ref="D21:I21"/>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2F186-B1CF-417D-B73E-AAC90D0B45EB}">
  <sheetPr>
    <tabColor theme="0" tint="-0.34998626667073579"/>
  </sheetPr>
  <dimension ref="A1:AH124"/>
  <sheetViews>
    <sheetView topLeftCell="I24" zoomScaleNormal="100" workbookViewId="0">
      <selection activeCell="AF51" sqref="AF51:AF53"/>
    </sheetView>
  </sheetViews>
  <sheetFormatPr defaultRowHeight="15" x14ac:dyDescent="0.25"/>
  <cols>
    <col min="1" max="1" width="43.42578125" bestFit="1" customWidth="1"/>
    <col min="16" max="16" width="12.42578125" bestFit="1" customWidth="1"/>
    <col min="22" max="22" width="13.42578125" customWidth="1"/>
    <col min="37" max="37" width="14.42578125" customWidth="1"/>
  </cols>
  <sheetData>
    <row r="1" spans="1:30" ht="15.75" thickBot="1" x14ac:dyDescent="0.3">
      <c r="A1" s="40" t="s">
        <v>653</v>
      </c>
      <c r="C1" s="533" t="s">
        <v>54</v>
      </c>
      <c r="D1" s="535" t="s">
        <v>654</v>
      </c>
      <c r="F1" s="537" t="s">
        <v>655</v>
      </c>
      <c r="G1" s="537"/>
      <c r="U1" s="110" t="s">
        <v>656</v>
      </c>
    </row>
    <row r="2" spans="1:30" ht="15" customHeight="1" thickBot="1" x14ac:dyDescent="0.3">
      <c r="A2" t="s">
        <v>657</v>
      </c>
      <c r="C2" s="534"/>
      <c r="D2" s="536"/>
      <c r="F2" s="538">
        <f>(F4-1)/27</f>
        <v>2.0083463745435574E-2</v>
      </c>
      <c r="G2" s="538"/>
      <c r="I2">
        <f>D3*(1+(F2*27))</f>
        <v>43800</v>
      </c>
      <c r="P2" s="531" t="s">
        <v>658</v>
      </c>
      <c r="Q2" s="531"/>
      <c r="V2" s="524"/>
      <c r="W2" s="521" t="str">
        <f>W21</f>
        <v>SYNCHRO (total delay)</v>
      </c>
      <c r="X2" s="522"/>
      <c r="Y2" s="522"/>
      <c r="Z2" s="522"/>
      <c r="AA2" s="522"/>
      <c r="AB2" s="523"/>
      <c r="AC2" s="348"/>
      <c r="AD2" s="348"/>
    </row>
    <row r="3" spans="1:30" ht="15.75" thickBot="1" x14ac:dyDescent="0.3">
      <c r="B3" s="41">
        <v>53000</v>
      </c>
      <c r="C3" s="42">
        <v>2018</v>
      </c>
      <c r="D3" s="43">
        <v>28400</v>
      </c>
      <c r="P3">
        <v>2012</v>
      </c>
      <c r="V3" s="525"/>
      <c r="W3" s="107">
        <v>2023</v>
      </c>
      <c r="X3" s="108"/>
      <c r="Y3" s="109"/>
      <c r="Z3" s="107">
        <v>2046</v>
      </c>
      <c r="AA3" s="108"/>
      <c r="AB3" s="109"/>
      <c r="AC3" s="348"/>
      <c r="AD3" s="348"/>
    </row>
    <row r="4" spans="1:30" ht="15.75" thickBot="1" x14ac:dyDescent="0.3">
      <c r="C4" s="44">
        <v>2045</v>
      </c>
      <c r="D4" s="45">
        <v>43800</v>
      </c>
      <c r="F4" s="46">
        <f>D4/D3</f>
        <v>1.5422535211267605</v>
      </c>
      <c r="G4" s="527" t="s">
        <v>659</v>
      </c>
      <c r="H4" s="527"/>
      <c r="I4" s="527"/>
      <c r="J4" s="527"/>
      <c r="K4" s="527"/>
      <c r="L4" s="527"/>
      <c r="M4" s="527"/>
      <c r="P4">
        <v>2013</v>
      </c>
      <c r="V4" s="526"/>
      <c r="W4" s="53" t="str">
        <f t="shared" ref="W4" si="0">W23</f>
        <v>AM</v>
      </c>
      <c r="X4" s="53" t="s">
        <v>660</v>
      </c>
      <c r="Y4" s="53" t="s">
        <v>441</v>
      </c>
      <c r="Z4" s="53" t="s">
        <v>442</v>
      </c>
      <c r="AA4" s="53" t="s">
        <v>660</v>
      </c>
      <c r="AB4" s="53" t="s">
        <v>441</v>
      </c>
      <c r="AC4" s="57" t="s">
        <v>661</v>
      </c>
      <c r="AD4" s="361"/>
    </row>
    <row r="5" spans="1:30" ht="15.75" thickBot="1" x14ac:dyDescent="0.3">
      <c r="F5" s="47">
        <f>(F4-1)/(C4-C3)</f>
        <v>2.0083463745435574E-2</v>
      </c>
      <c r="G5" s="527" t="s">
        <v>662</v>
      </c>
      <c r="H5" s="527"/>
      <c r="I5" s="527"/>
      <c r="J5" s="527"/>
      <c r="K5" s="527"/>
      <c r="L5" s="527"/>
      <c r="M5" s="527"/>
      <c r="P5">
        <v>2014</v>
      </c>
      <c r="V5" s="54" t="s">
        <v>663</v>
      </c>
      <c r="W5" s="53">
        <f>W24</f>
        <v>47</v>
      </c>
      <c r="X5" s="53">
        <f>$X$8*(W5+Y5)*$X$9</f>
        <v>22.75</v>
      </c>
      <c r="Y5" s="53">
        <f t="shared" ref="Y5:Z5" si="1">Y24</f>
        <v>44</v>
      </c>
      <c r="Z5" s="53">
        <f t="shared" si="1"/>
        <v>179</v>
      </c>
      <c r="AA5" s="53">
        <f>$X$8*(Z5+AB5)*$X$9</f>
        <v>107</v>
      </c>
      <c r="AB5" s="53">
        <f t="shared" ref="AB5:AB7" si="2">AB24</f>
        <v>249</v>
      </c>
      <c r="AC5" s="64"/>
    </row>
    <row r="6" spans="1:30" ht="15.75" thickBot="1" x14ac:dyDescent="0.3">
      <c r="P6">
        <v>2015</v>
      </c>
      <c r="Q6">
        <v>57300</v>
      </c>
      <c r="V6" s="54" t="s">
        <v>664</v>
      </c>
      <c r="W6" s="53">
        <f>W25</f>
        <v>27</v>
      </c>
      <c r="X6" s="53">
        <f>$X$8*(W6+Y6)*$X$9</f>
        <v>14.75</v>
      </c>
      <c r="Y6" s="53">
        <f t="shared" ref="Y6:Z6" si="3">Y25</f>
        <v>32</v>
      </c>
      <c r="Z6" s="53">
        <f t="shared" si="3"/>
        <v>85</v>
      </c>
      <c r="AA6" s="53">
        <f>$X$8*(Z6+AB6)*$X$9</f>
        <v>57.5</v>
      </c>
      <c r="AB6" s="53">
        <f t="shared" si="2"/>
        <v>145</v>
      </c>
      <c r="AC6" s="64"/>
      <c r="AD6" s="365"/>
    </row>
    <row r="7" spans="1:30" ht="15.75" thickBot="1" x14ac:dyDescent="0.3">
      <c r="P7">
        <v>2016</v>
      </c>
      <c r="Q7">
        <v>59200</v>
      </c>
      <c r="V7" s="55" t="s">
        <v>665</v>
      </c>
      <c r="W7" s="53">
        <f>W26</f>
        <v>20</v>
      </c>
      <c r="X7" s="53">
        <f>$X$8*(W7+Y7)*$X$9</f>
        <v>8</v>
      </c>
      <c r="Y7" s="53">
        <f t="shared" ref="Y7:Z7" si="4">Y26</f>
        <v>12</v>
      </c>
      <c r="Z7" s="53">
        <f t="shared" si="4"/>
        <v>94</v>
      </c>
      <c r="AA7" s="53">
        <f>$X$8*(Z7+AB7)*$X$9</f>
        <v>49.5</v>
      </c>
      <c r="AB7" s="53">
        <f t="shared" si="2"/>
        <v>104</v>
      </c>
      <c r="AC7" s="64"/>
    </row>
    <row r="8" spans="1:30" x14ac:dyDescent="0.25">
      <c r="A8" s="40" t="s">
        <v>653</v>
      </c>
      <c r="C8" s="533" t="s">
        <v>54</v>
      </c>
      <c r="D8" s="535" t="s">
        <v>666</v>
      </c>
      <c r="P8">
        <v>2017</v>
      </c>
      <c r="Q8">
        <v>62300</v>
      </c>
      <c r="V8" t="s">
        <v>667</v>
      </c>
      <c r="X8">
        <f>Inputs!$E$103</f>
        <v>1</v>
      </c>
    </row>
    <row r="9" spans="1:30" x14ac:dyDescent="0.25">
      <c r="C9" s="534"/>
      <c r="D9" s="536"/>
      <c r="P9">
        <v>2018</v>
      </c>
      <c r="Q9">
        <v>61900</v>
      </c>
      <c r="V9" t="s">
        <v>668</v>
      </c>
      <c r="X9" s="365">
        <f>Inputs!E104</f>
        <v>0.25</v>
      </c>
      <c r="Y9" s="358" t="s">
        <v>259</v>
      </c>
      <c r="Z9" s="359">
        <f>Summary!$E$9</f>
        <v>1.8138898580989069</v>
      </c>
      <c r="AB9" s="365"/>
    </row>
    <row r="10" spans="1:30" x14ac:dyDescent="0.25">
      <c r="C10" s="42">
        <v>2018</v>
      </c>
      <c r="D10" s="43">
        <v>3405</v>
      </c>
      <c r="P10">
        <v>2019</v>
      </c>
      <c r="Q10">
        <v>62900</v>
      </c>
    </row>
    <row r="11" spans="1:30" ht="15.75" thickBot="1" x14ac:dyDescent="0.3">
      <c r="C11" s="44">
        <v>2045</v>
      </c>
      <c r="D11" s="45">
        <v>5215</v>
      </c>
      <c r="F11" s="46">
        <f>D11/D10</f>
        <v>1.5315712187958883</v>
      </c>
      <c r="G11" s="527" t="s">
        <v>659</v>
      </c>
      <c r="H11" s="527"/>
      <c r="I11" s="527"/>
      <c r="J11" s="527"/>
      <c r="K11" s="527"/>
      <c r="L11" s="527"/>
      <c r="M11" s="527"/>
      <c r="P11">
        <v>2020</v>
      </c>
      <c r="Q11">
        <v>52600</v>
      </c>
    </row>
    <row r="12" spans="1:30" ht="15.75" thickBot="1" x14ac:dyDescent="0.3">
      <c r="A12" s="48"/>
      <c r="B12" s="48"/>
      <c r="C12" s="48"/>
      <c r="D12" s="48"/>
      <c r="E12" s="48"/>
      <c r="F12" s="49">
        <f>(F11-1)/(C11-C10)</f>
        <v>1.9687822918366234E-2</v>
      </c>
      <c r="G12" s="532" t="s">
        <v>662</v>
      </c>
      <c r="H12" s="532"/>
      <c r="I12" s="532"/>
      <c r="J12" s="532"/>
      <c r="K12" s="532"/>
      <c r="L12" s="532"/>
      <c r="M12" s="532"/>
      <c r="P12">
        <v>2021</v>
      </c>
      <c r="Q12">
        <v>5300</v>
      </c>
      <c r="S12" s="46">
        <f>Q14/Q13</f>
        <v>-5.1181959564539437</v>
      </c>
      <c r="U12" s="110" t="s">
        <v>669</v>
      </c>
      <c r="W12" t="s">
        <v>670</v>
      </c>
    </row>
    <row r="13" spans="1:30" ht="15.75" thickBot="1" x14ac:dyDescent="0.3">
      <c r="P13" s="42">
        <v>2022</v>
      </c>
      <c r="Q13" s="43">
        <f>TREND(Q6:Q12,P6:P12,P13)</f>
        <v>27557.142857143655</v>
      </c>
      <c r="S13" s="47">
        <f>(S12-1)/(P14-P6)</f>
        <v>-0.17480559875582696</v>
      </c>
      <c r="V13" s="524"/>
      <c r="W13" s="107" t="s">
        <v>671</v>
      </c>
      <c r="X13" s="108"/>
      <c r="Y13" s="108"/>
      <c r="Z13" s="108"/>
      <c r="AA13" s="108"/>
      <c r="AB13" s="109"/>
      <c r="AC13" s="57" t="s">
        <v>661</v>
      </c>
      <c r="AD13" s="361"/>
    </row>
    <row r="14" spans="1:30" ht="15.75" thickBot="1" x14ac:dyDescent="0.3">
      <c r="A14" s="40" t="s">
        <v>672</v>
      </c>
      <c r="C14" s="533" t="s">
        <v>54</v>
      </c>
      <c r="D14" s="535" t="s">
        <v>666</v>
      </c>
      <c r="P14" s="44">
        <v>2050</v>
      </c>
      <c r="Q14" s="45">
        <f>TREND(Q6:Q12,P6:P12,P14)</f>
        <v>-141042.85714285634</v>
      </c>
      <c r="V14" s="525"/>
      <c r="W14" s="107">
        <v>2023</v>
      </c>
      <c r="X14" s="108"/>
      <c r="Y14" s="109"/>
      <c r="Z14" s="107">
        <v>2046</v>
      </c>
      <c r="AA14" s="108"/>
      <c r="AB14" s="109"/>
    </row>
    <row r="15" spans="1:30" ht="15.75" thickBot="1" x14ac:dyDescent="0.3">
      <c r="C15" s="534"/>
      <c r="D15" s="536"/>
      <c r="P15" s="50" t="s">
        <v>673</v>
      </c>
      <c r="Q15" s="51">
        <f>(S12-1)/(P14-P13)</f>
        <v>-0.21850699844478369</v>
      </c>
      <c r="V15" s="526"/>
      <c r="W15" s="53" t="s">
        <v>440</v>
      </c>
      <c r="X15" s="53" t="s">
        <v>660</v>
      </c>
      <c r="Y15" s="53" t="s">
        <v>441</v>
      </c>
      <c r="Z15" s="53" t="s">
        <v>442</v>
      </c>
      <c r="AA15" s="53" t="s">
        <v>660</v>
      </c>
      <c r="AB15" s="53" t="s">
        <v>441</v>
      </c>
    </row>
    <row r="16" spans="1:30" ht="15.75" thickBot="1" x14ac:dyDescent="0.3">
      <c r="C16" s="42">
        <v>2018</v>
      </c>
      <c r="D16" s="43">
        <v>3500</v>
      </c>
      <c r="V16" s="54" t="s">
        <v>663</v>
      </c>
      <c r="W16" s="53">
        <v>58.9</v>
      </c>
      <c r="X16" s="53">
        <f>$X$8*(W16+Y16)*$X$9</f>
        <v>39.15</v>
      </c>
      <c r="Y16" s="53">
        <v>97.7</v>
      </c>
      <c r="Z16" s="53">
        <v>244.2</v>
      </c>
      <c r="AA16" s="53">
        <f t="shared" ref="AA16:AA18" si="5">$X$8*(Z16+AB16)*$X$9</f>
        <v>126.97499999999999</v>
      </c>
      <c r="AB16" s="53">
        <v>263.7</v>
      </c>
    </row>
    <row r="17" spans="1:30" ht="15.75" thickBot="1" x14ac:dyDescent="0.3">
      <c r="C17" s="44">
        <v>2045</v>
      </c>
      <c r="D17" s="45">
        <v>5520</v>
      </c>
      <c r="F17" s="46">
        <f>D17/D16</f>
        <v>1.5771428571428572</v>
      </c>
      <c r="G17" s="527" t="s">
        <v>659</v>
      </c>
      <c r="H17" s="527"/>
      <c r="I17" s="527"/>
      <c r="J17" s="527"/>
      <c r="K17" s="527"/>
      <c r="L17" s="527"/>
      <c r="M17" s="527"/>
      <c r="V17" s="54" t="s">
        <v>664</v>
      </c>
      <c r="W17" s="53">
        <v>23.5</v>
      </c>
      <c r="X17" s="53">
        <f>$X$8*(W17+Y17)*$X$9</f>
        <v>12.65</v>
      </c>
      <c r="Y17" s="53">
        <v>27.1</v>
      </c>
      <c r="Z17" s="53">
        <v>49</v>
      </c>
      <c r="AA17" s="53">
        <f t="shared" si="5"/>
        <v>25.324999999999999</v>
      </c>
      <c r="AB17" s="53">
        <v>52.3</v>
      </c>
    </row>
    <row r="18" spans="1:30" ht="15.75" thickBot="1" x14ac:dyDescent="0.3">
      <c r="A18" s="48"/>
      <c r="B18" s="48"/>
      <c r="C18" s="48"/>
      <c r="D18" s="48"/>
      <c r="E18" s="48"/>
      <c r="F18" s="60">
        <f>(F17-1)/(C17-C16)</f>
        <v>2.1375661375661378E-2</v>
      </c>
      <c r="G18" s="532" t="s">
        <v>662</v>
      </c>
      <c r="H18" s="532"/>
      <c r="I18" s="532"/>
      <c r="J18" s="532"/>
      <c r="K18" s="532"/>
      <c r="L18" s="532"/>
      <c r="M18" s="532"/>
      <c r="V18" s="55" t="s">
        <v>665</v>
      </c>
      <c r="W18" s="56">
        <v>35.5</v>
      </c>
      <c r="X18" s="53">
        <f>$X$8*(W18+Y18)*$X$9</f>
        <v>26.5</v>
      </c>
      <c r="Y18" s="56">
        <v>70.5</v>
      </c>
      <c r="Z18" s="56">
        <v>195.2</v>
      </c>
      <c r="AA18" s="53">
        <f t="shared" si="5"/>
        <v>101.65</v>
      </c>
      <c r="AB18" s="56">
        <v>211.4</v>
      </c>
    </row>
    <row r="20" spans="1:30" ht="15.75" thickBot="1" x14ac:dyDescent="0.3"/>
    <row r="21" spans="1:30" ht="15.75" customHeight="1" thickBot="1" x14ac:dyDescent="0.3">
      <c r="V21" s="524"/>
      <c r="W21" s="107" t="s">
        <v>674</v>
      </c>
      <c r="X21" s="108"/>
      <c r="Y21" s="108"/>
      <c r="Z21" s="108"/>
      <c r="AA21" s="108"/>
      <c r="AB21" s="109"/>
      <c r="AC21" s="57" t="s">
        <v>661</v>
      </c>
      <c r="AD21" s="361"/>
    </row>
    <row r="22" spans="1:30" ht="15.75" thickBot="1" x14ac:dyDescent="0.3">
      <c r="A22" s="40" t="s">
        <v>675</v>
      </c>
      <c r="C22" s="533" t="s">
        <v>54</v>
      </c>
      <c r="D22" s="535" t="s">
        <v>654</v>
      </c>
      <c r="V22" s="525"/>
      <c r="W22" s="107">
        <v>2023</v>
      </c>
      <c r="X22" s="108"/>
      <c r="Y22" s="109"/>
      <c r="Z22" s="107">
        <v>2046</v>
      </c>
      <c r="AA22" s="108"/>
      <c r="AB22" s="109"/>
    </row>
    <row r="23" spans="1:30" ht="15.75" thickBot="1" x14ac:dyDescent="0.3">
      <c r="C23" s="534"/>
      <c r="D23" s="536"/>
      <c r="V23" s="526"/>
      <c r="W23" s="53" t="s">
        <v>440</v>
      </c>
      <c r="X23" s="53" t="s">
        <v>660</v>
      </c>
      <c r="Y23" s="53" t="s">
        <v>441</v>
      </c>
      <c r="Z23" s="53" t="s">
        <v>442</v>
      </c>
      <c r="AA23" s="53" t="s">
        <v>660</v>
      </c>
      <c r="AB23" s="53" t="s">
        <v>441</v>
      </c>
    </row>
    <row r="24" spans="1:30" ht="15.75" thickBot="1" x14ac:dyDescent="0.3">
      <c r="C24" s="42">
        <v>2018</v>
      </c>
      <c r="D24" s="43">
        <v>28400</v>
      </c>
      <c r="V24" s="54" t="s">
        <v>663</v>
      </c>
      <c r="W24" s="53">
        <v>47</v>
      </c>
      <c r="X24" s="53">
        <f>$X$8*(W24+Y24)*$X$9</f>
        <v>22.75</v>
      </c>
      <c r="Y24" s="53">
        <v>44</v>
      </c>
      <c r="Z24" s="53">
        <v>179</v>
      </c>
      <c r="AA24" s="53">
        <f>$X$8*(Z24+AB24)*$X$9</f>
        <v>107</v>
      </c>
      <c r="AB24" s="53">
        <v>249</v>
      </c>
    </row>
    <row r="25" spans="1:30" ht="15.75" thickBot="1" x14ac:dyDescent="0.3">
      <c r="C25" s="44">
        <v>2023</v>
      </c>
      <c r="D25" s="45">
        <f>D3*(1+(F2*5))</f>
        <v>31251.851851851854</v>
      </c>
      <c r="F25" s="46">
        <f>D25/D24</f>
        <v>1.100417318727178</v>
      </c>
      <c r="G25" s="527" t="s">
        <v>676</v>
      </c>
      <c r="H25" s="527"/>
      <c r="I25" s="527"/>
      <c r="J25" s="527"/>
      <c r="K25" s="527"/>
      <c r="L25" s="527"/>
      <c r="M25" s="527"/>
      <c r="V25" s="54" t="s">
        <v>664</v>
      </c>
      <c r="W25" s="53">
        <v>27</v>
      </c>
      <c r="X25" s="53">
        <f>$X$8*(W25+Y25)*$X$9</f>
        <v>14.75</v>
      </c>
      <c r="Y25" s="53">
        <v>32</v>
      </c>
      <c r="Z25" s="53">
        <v>85</v>
      </c>
      <c r="AA25" s="53">
        <f>$X$8*(Z25+AB25)*$X$9</f>
        <v>57.5</v>
      </c>
      <c r="AB25" s="53">
        <v>145</v>
      </c>
    </row>
    <row r="26" spans="1:30" ht="15.75" thickBot="1" x14ac:dyDescent="0.3">
      <c r="F26" s="47">
        <f>(F25-1)/(C25-C24)</f>
        <v>2.0083463745435591E-2</v>
      </c>
      <c r="G26" s="527" t="s">
        <v>677</v>
      </c>
      <c r="H26" s="527"/>
      <c r="I26" s="527"/>
      <c r="J26" s="527"/>
      <c r="K26" s="527"/>
      <c r="L26" s="527"/>
      <c r="M26" s="527"/>
      <c r="V26" s="55" t="s">
        <v>665</v>
      </c>
      <c r="W26" s="56">
        <v>20</v>
      </c>
      <c r="X26" s="53">
        <f>$X$8*(W26+Y26)*$X$9</f>
        <v>8</v>
      </c>
      <c r="Y26" s="56">
        <v>12</v>
      </c>
      <c r="Z26" s="56">
        <v>94</v>
      </c>
      <c r="AA26" s="53">
        <f>$X$8*(Z26+AB26)*$X$9</f>
        <v>49.5</v>
      </c>
      <c r="AB26" s="56">
        <v>104</v>
      </c>
    </row>
    <row r="27" spans="1:30" ht="15.75" thickBot="1" x14ac:dyDescent="0.3"/>
    <row r="28" spans="1:30" ht="15.75" thickBot="1" x14ac:dyDescent="0.3">
      <c r="V28" s="524"/>
      <c r="W28" s="107" t="s">
        <v>678</v>
      </c>
      <c r="X28" s="108"/>
      <c r="Y28" s="108"/>
      <c r="Z28" s="108"/>
      <c r="AA28" s="108"/>
      <c r="AB28" s="109"/>
      <c r="AC28" s="57" t="s">
        <v>661</v>
      </c>
      <c r="AD28" s="361"/>
    </row>
    <row r="29" spans="1:30" ht="15.75" thickBot="1" x14ac:dyDescent="0.3">
      <c r="V29" s="525"/>
      <c r="W29" s="107">
        <v>2023</v>
      </c>
      <c r="X29" s="108"/>
      <c r="Y29" s="109"/>
      <c r="Z29" s="107">
        <v>2046</v>
      </c>
      <c r="AA29" s="108"/>
      <c r="AB29" s="109"/>
    </row>
    <row r="30" spans="1:30" ht="15.75" thickBot="1" x14ac:dyDescent="0.3">
      <c r="C30" s="533" t="s">
        <v>54</v>
      </c>
      <c r="D30" s="535" t="s">
        <v>654</v>
      </c>
      <c r="V30" s="526"/>
      <c r="W30" s="53" t="s">
        <v>440</v>
      </c>
      <c r="X30" s="53" t="s">
        <v>660</v>
      </c>
      <c r="Y30" s="53" t="s">
        <v>441</v>
      </c>
      <c r="Z30" s="53" t="s">
        <v>442</v>
      </c>
      <c r="AA30" s="53" t="s">
        <v>660</v>
      </c>
      <c r="AB30" s="53" t="s">
        <v>441</v>
      </c>
    </row>
    <row r="31" spans="1:30" ht="15.75" thickBot="1" x14ac:dyDescent="0.3">
      <c r="C31" s="534"/>
      <c r="D31" s="536"/>
      <c r="V31" s="54" t="s">
        <v>663</v>
      </c>
      <c r="W31" s="53">
        <v>21.6</v>
      </c>
      <c r="X31" s="53">
        <f>$X$8*(W31+Y31)*$X$9</f>
        <v>11.2</v>
      </c>
      <c r="Y31" s="53">
        <v>23.2</v>
      </c>
      <c r="Z31" s="53">
        <v>70.400000000000006</v>
      </c>
      <c r="AA31" s="53">
        <f>$X$8*(Z31+AB31)*$X$9</f>
        <v>37.85</v>
      </c>
      <c r="AB31" s="53">
        <v>81</v>
      </c>
    </row>
    <row r="32" spans="1:30" ht="15.75" thickBot="1" x14ac:dyDescent="0.3">
      <c r="C32" s="42">
        <v>2023</v>
      </c>
      <c r="D32" s="43">
        <f>D25</f>
        <v>31251.851851851854</v>
      </c>
      <c r="V32" s="54" t="s">
        <v>664</v>
      </c>
      <c r="W32" s="53">
        <v>10.3</v>
      </c>
      <c r="X32" s="53">
        <f>$X$8*(W32+Y32)*$X$9</f>
        <v>5.2750000000000004</v>
      </c>
      <c r="Y32" s="53">
        <v>10.8</v>
      </c>
      <c r="Z32" s="53">
        <v>18.600000000000001</v>
      </c>
      <c r="AA32" s="53">
        <f>$X$8*(Z32+AB32)*$X$9</f>
        <v>9.4250000000000007</v>
      </c>
      <c r="AB32" s="53">
        <v>19.100000000000001</v>
      </c>
    </row>
    <row r="33" spans="3:34" ht="15.75" thickBot="1" x14ac:dyDescent="0.3">
      <c r="C33" s="44">
        <v>2046</v>
      </c>
      <c r="D33" s="45">
        <f>D32*(1+(F2*23))</f>
        <v>45687.696825672829</v>
      </c>
      <c r="F33" s="46">
        <f>D33/D32</f>
        <v>1.4619196661450182</v>
      </c>
      <c r="G33" s="527" t="s">
        <v>679</v>
      </c>
      <c r="H33" s="527"/>
      <c r="I33" s="527"/>
      <c r="J33" s="527"/>
      <c r="K33" s="527"/>
      <c r="L33" s="527"/>
      <c r="M33" s="527"/>
      <c r="V33" s="55" t="s">
        <v>665</v>
      </c>
      <c r="W33" s="56">
        <v>11.3</v>
      </c>
      <c r="X33" s="53">
        <f>$X$8*(W33+Y33)*$X$9</f>
        <v>5.9250000000000007</v>
      </c>
      <c r="Y33" s="56">
        <v>12.4</v>
      </c>
      <c r="Z33" s="56">
        <v>51.8</v>
      </c>
      <c r="AA33" s="53">
        <f>$X$8*(Z33+AB33)*$X$9</f>
        <v>28.424999999999997</v>
      </c>
      <c r="AB33" s="56">
        <v>61.9</v>
      </c>
    </row>
    <row r="34" spans="3:34" x14ac:dyDescent="0.25">
      <c r="F34" s="47">
        <f>(F33-1)/(C33-C32)</f>
        <v>2.0083463745435574E-2</v>
      </c>
      <c r="G34" s="527" t="s">
        <v>680</v>
      </c>
      <c r="H34" s="527"/>
      <c r="I34" s="527"/>
      <c r="J34" s="527"/>
      <c r="K34" s="527"/>
      <c r="L34" s="527"/>
      <c r="M34" s="527"/>
    </row>
    <row r="36" spans="3:34" ht="15.75" thickBot="1" x14ac:dyDescent="0.3"/>
    <row r="37" spans="3:34" ht="15.75" thickBot="1" x14ac:dyDescent="0.3">
      <c r="C37" s="533" t="s">
        <v>54</v>
      </c>
      <c r="D37" s="535" t="s">
        <v>654</v>
      </c>
      <c r="U37" s="110" t="s">
        <v>438</v>
      </c>
    </row>
    <row r="38" spans="3:34" ht="15.75" thickBot="1" x14ac:dyDescent="0.3">
      <c r="C38" s="534"/>
      <c r="D38" s="536"/>
      <c r="V38" s="528" t="s">
        <v>681</v>
      </c>
      <c r="W38" s="521" t="s">
        <v>682</v>
      </c>
      <c r="X38" s="522"/>
      <c r="Y38" s="522"/>
      <c r="Z38" s="522"/>
      <c r="AA38" s="522"/>
      <c r="AB38" s="523"/>
    </row>
    <row r="39" spans="3:34" ht="15.75" thickBot="1" x14ac:dyDescent="0.3">
      <c r="C39" s="42">
        <v>2018</v>
      </c>
      <c r="D39" s="43">
        <f>D24</f>
        <v>28400</v>
      </c>
      <c r="V39" s="529"/>
      <c r="W39" s="107">
        <v>2023</v>
      </c>
      <c r="X39" s="108"/>
      <c r="Y39" s="109"/>
      <c r="Z39" s="107">
        <v>2046</v>
      </c>
      <c r="AA39" s="108"/>
      <c r="AB39" s="109"/>
    </row>
    <row r="40" spans="3:34" ht="15.75" thickBot="1" x14ac:dyDescent="0.3">
      <c r="C40" s="44">
        <v>2046</v>
      </c>
      <c r="D40" s="45">
        <f>D39*(1+(F2*28))</f>
        <v>44370.370370370365</v>
      </c>
      <c r="F40" s="46">
        <f>D40/D39</f>
        <v>1.562336984872196</v>
      </c>
      <c r="G40" s="527" t="s">
        <v>683</v>
      </c>
      <c r="H40" s="527"/>
      <c r="I40" s="527"/>
      <c r="J40" s="527"/>
      <c r="K40" s="527"/>
      <c r="L40" s="527"/>
      <c r="M40" s="527"/>
      <c r="V40" s="530"/>
      <c r="W40" s="53" t="s">
        <v>440</v>
      </c>
      <c r="X40" s="53" t="s">
        <v>660</v>
      </c>
      <c r="Y40" s="53" t="s">
        <v>441</v>
      </c>
      <c r="Z40" s="53" t="s">
        <v>442</v>
      </c>
      <c r="AA40" s="53" t="s">
        <v>660</v>
      </c>
      <c r="AB40" s="53" t="s">
        <v>441</v>
      </c>
    </row>
    <row r="41" spans="3:34" ht="15.75" thickBot="1" x14ac:dyDescent="0.3">
      <c r="F41" s="47">
        <f>(F40-1)/(C40-C39)</f>
        <v>2.008346374543557E-2</v>
      </c>
      <c r="G41" s="527" t="s">
        <v>684</v>
      </c>
      <c r="H41" s="527"/>
      <c r="I41" s="527"/>
      <c r="J41" s="527"/>
      <c r="K41" s="527"/>
      <c r="L41" s="527"/>
      <c r="M41" s="527"/>
      <c r="V41" s="54" t="s">
        <v>663</v>
      </c>
      <c r="W41" s="53">
        <v>116</v>
      </c>
      <c r="X41" s="53">
        <f t="shared" ref="X41:X43" si="6">$X$8*(W41+Y41)*$X$9</f>
        <v>57.5</v>
      </c>
      <c r="Y41" s="53">
        <v>114</v>
      </c>
      <c r="Z41" s="53">
        <v>253</v>
      </c>
      <c r="AA41" s="53">
        <f>$X$8*(Z41+AB41)*$X$9</f>
        <v>140.25</v>
      </c>
      <c r="AB41" s="53">
        <v>308</v>
      </c>
    </row>
    <row r="42" spans="3:34" ht="15.75" thickBot="1" x14ac:dyDescent="0.3">
      <c r="V42" s="54" t="s">
        <v>664</v>
      </c>
      <c r="W42" s="53">
        <v>94</v>
      </c>
      <c r="X42" s="53">
        <f t="shared" si="6"/>
        <v>49</v>
      </c>
      <c r="Y42" s="53">
        <v>102</v>
      </c>
      <c r="Z42" s="53">
        <v>174</v>
      </c>
      <c r="AA42" s="53">
        <f>$X$8*(Z42+AB42)*$X$9</f>
        <v>99.75</v>
      </c>
      <c r="AB42" s="53">
        <v>225</v>
      </c>
    </row>
    <row r="43" spans="3:34" ht="15.75" thickBot="1" x14ac:dyDescent="0.3">
      <c r="V43" s="55" t="s">
        <v>665</v>
      </c>
      <c r="W43" s="53">
        <f t="shared" ref="W43:AB43" si="7">W41-W42</f>
        <v>22</v>
      </c>
      <c r="X43" s="53">
        <f t="shared" si="6"/>
        <v>8.5</v>
      </c>
      <c r="Y43" s="53">
        <f t="shared" si="7"/>
        <v>12</v>
      </c>
      <c r="Z43" s="53">
        <f t="shared" si="7"/>
        <v>79</v>
      </c>
      <c r="AA43" s="53">
        <f t="shared" ref="AA43" si="8">$X$8*(Z43+AB43)*$X$9</f>
        <v>40.5</v>
      </c>
      <c r="AB43" s="53">
        <f t="shared" si="7"/>
        <v>83</v>
      </c>
    </row>
    <row r="47" spans="3:34" ht="15.75" thickBot="1" x14ac:dyDescent="0.3">
      <c r="U47" s="110" t="s">
        <v>444</v>
      </c>
    </row>
    <row r="48" spans="3:34" ht="15.75" thickBot="1" x14ac:dyDescent="0.3">
      <c r="V48" s="528" t="s">
        <v>445</v>
      </c>
      <c r="W48" s="107">
        <v>2023</v>
      </c>
      <c r="X48" s="108"/>
      <c r="Y48" s="108"/>
      <c r="Z48" s="108"/>
      <c r="AA48" s="108"/>
      <c r="AB48" s="109"/>
      <c r="AC48" s="107">
        <v>2046</v>
      </c>
      <c r="AD48" s="108"/>
      <c r="AE48" s="108"/>
      <c r="AF48" s="108"/>
      <c r="AG48" s="108"/>
      <c r="AH48" s="109"/>
    </row>
    <row r="49" spans="12:34" ht="15.75" thickBot="1" x14ac:dyDescent="0.3">
      <c r="V49" s="529"/>
      <c r="W49" s="107" t="s">
        <v>440</v>
      </c>
      <c r="X49" s="109"/>
      <c r="Y49" s="107" t="s">
        <v>660</v>
      </c>
      <c r="Z49" s="109"/>
      <c r="AA49" s="107" t="s">
        <v>441</v>
      </c>
      <c r="AB49" s="109"/>
      <c r="AC49" s="107" t="s">
        <v>440</v>
      </c>
      <c r="AD49" s="109"/>
      <c r="AE49" s="107" t="s">
        <v>660</v>
      </c>
      <c r="AF49" s="109"/>
      <c r="AG49" s="107" t="s">
        <v>441</v>
      </c>
      <c r="AH49" s="109"/>
    </row>
    <row r="50" spans="12:34" ht="15.75" thickBot="1" x14ac:dyDescent="0.3">
      <c r="V50" s="530"/>
      <c r="W50" s="53" t="s">
        <v>663</v>
      </c>
      <c r="X50" s="53" t="s">
        <v>637</v>
      </c>
      <c r="Y50" s="53" t="s">
        <v>663</v>
      </c>
      <c r="Z50" s="53" t="s">
        <v>637</v>
      </c>
      <c r="AA50" s="53" t="s">
        <v>663</v>
      </c>
      <c r="AB50" s="53" t="s">
        <v>637</v>
      </c>
      <c r="AC50" s="53" t="s">
        <v>663</v>
      </c>
      <c r="AD50" s="53" t="s">
        <v>637</v>
      </c>
      <c r="AE50" s="53" t="s">
        <v>663</v>
      </c>
      <c r="AF50" s="53" t="s">
        <v>637</v>
      </c>
      <c r="AG50" s="53" t="s">
        <v>663</v>
      </c>
      <c r="AH50" s="53" t="s">
        <v>637</v>
      </c>
    </row>
    <row r="51" spans="12:34" ht="15.75" thickBot="1" x14ac:dyDescent="0.3">
      <c r="V51" s="54" t="s">
        <v>685</v>
      </c>
      <c r="W51" s="53">
        <v>8.08</v>
      </c>
      <c r="X51" s="379">
        <v>6.6</v>
      </c>
      <c r="Y51" s="379">
        <f t="shared" ref="Y51:Z53" si="9">SUM(W51,AA51)*$X$8*$X$9</f>
        <v>4.0125000000000002</v>
      </c>
      <c r="Z51" s="379">
        <f t="shared" si="9"/>
        <v>3.4325000000000001</v>
      </c>
      <c r="AA51" s="53">
        <v>7.97</v>
      </c>
      <c r="AB51" s="53">
        <v>7.13</v>
      </c>
      <c r="AC51" s="53">
        <v>17.7</v>
      </c>
      <c r="AD51" s="53">
        <v>12.19</v>
      </c>
      <c r="AE51" s="53">
        <f>SUM(AC51,AG51)*$X$8*$X$9</f>
        <v>9.8099999999999987</v>
      </c>
      <c r="AF51" s="379">
        <f t="shared" ref="AF51:AF53" si="10">SUM(AD51,AH51)*$X$8*$X$9</f>
        <v>6.9824999999999999</v>
      </c>
      <c r="AG51" s="53">
        <v>21.54</v>
      </c>
      <c r="AH51" s="53">
        <v>15.74</v>
      </c>
    </row>
    <row r="52" spans="12:34" ht="15.75" thickBot="1" x14ac:dyDescent="0.3">
      <c r="L52" t="s">
        <v>686</v>
      </c>
      <c r="V52" s="54" t="s">
        <v>687</v>
      </c>
      <c r="W52" s="53">
        <v>1.57</v>
      </c>
      <c r="X52" s="53">
        <v>1.28</v>
      </c>
      <c r="Y52" s="53">
        <f t="shared" si="9"/>
        <v>0.78</v>
      </c>
      <c r="Z52" s="379">
        <f t="shared" si="9"/>
        <v>0.66749999999999998</v>
      </c>
      <c r="AA52" s="53">
        <v>1.55</v>
      </c>
      <c r="AB52" s="53">
        <v>1.39</v>
      </c>
      <c r="AC52" s="53">
        <v>3.44</v>
      </c>
      <c r="AD52" s="53">
        <v>2.37</v>
      </c>
      <c r="AE52" s="379">
        <f t="shared" ref="AE52:AE53" si="11">SUM(AC52,AG52)*$X$8*$X$9</f>
        <v>1.9075000000000002</v>
      </c>
      <c r="AF52" s="379">
        <f t="shared" si="10"/>
        <v>1.3574999999999999</v>
      </c>
      <c r="AG52" s="53">
        <v>4.1900000000000004</v>
      </c>
      <c r="AH52" s="53">
        <v>3.06</v>
      </c>
    </row>
    <row r="53" spans="12:34" ht="15.75" thickBot="1" x14ac:dyDescent="0.3">
      <c r="L53">
        <v>2023</v>
      </c>
      <c r="M53" t="s">
        <v>54</v>
      </c>
      <c r="V53" s="54" t="s">
        <v>449</v>
      </c>
      <c r="W53" s="53">
        <v>1.87</v>
      </c>
      <c r="X53" s="53">
        <v>1.53</v>
      </c>
      <c r="Y53" s="53">
        <f t="shared" si="9"/>
        <v>0.93</v>
      </c>
      <c r="Z53" s="379">
        <f t="shared" si="9"/>
        <v>0.79499999999999993</v>
      </c>
      <c r="AA53" s="53">
        <v>1.85</v>
      </c>
      <c r="AB53" s="53">
        <v>1.65</v>
      </c>
      <c r="AC53" s="379">
        <v>4.0999999999999996</v>
      </c>
      <c r="AD53" s="53">
        <v>2.83</v>
      </c>
      <c r="AE53" s="379">
        <f t="shared" si="11"/>
        <v>2.2725</v>
      </c>
      <c r="AF53" s="379">
        <f t="shared" si="10"/>
        <v>1.6175000000000002</v>
      </c>
      <c r="AG53" s="53">
        <v>4.99</v>
      </c>
      <c r="AH53" s="53">
        <v>3.64</v>
      </c>
    </row>
    <row r="54" spans="12:34" x14ac:dyDescent="0.25">
      <c r="L54">
        <v>3851</v>
      </c>
      <c r="M54" t="s">
        <v>688</v>
      </c>
    </row>
    <row r="55" spans="12:34" x14ac:dyDescent="0.25">
      <c r="L55">
        <v>3851</v>
      </c>
      <c r="M55" t="s">
        <v>689</v>
      </c>
    </row>
    <row r="56" spans="12:34" x14ac:dyDescent="0.25">
      <c r="L56">
        <f>L54+L55</f>
        <v>7702</v>
      </c>
      <c r="M56" t="s">
        <v>690</v>
      </c>
    </row>
    <row r="67" spans="4:5" x14ac:dyDescent="0.25">
      <c r="D67" t="s">
        <v>686</v>
      </c>
    </row>
    <row r="68" spans="4:5" x14ac:dyDescent="0.25">
      <c r="D68">
        <v>2023</v>
      </c>
      <c r="E68" t="s">
        <v>54</v>
      </c>
    </row>
    <row r="69" spans="4:5" x14ac:dyDescent="0.25">
      <c r="D69">
        <v>9860</v>
      </c>
      <c r="E69" t="s">
        <v>688</v>
      </c>
    </row>
    <row r="70" spans="4:5" x14ac:dyDescent="0.25">
      <c r="D70">
        <v>9860</v>
      </c>
      <c r="E70" t="s">
        <v>689</v>
      </c>
    </row>
    <row r="71" spans="4:5" x14ac:dyDescent="0.25">
      <c r="D71">
        <f>D69+D70</f>
        <v>19720</v>
      </c>
      <c r="E71" t="s">
        <v>690</v>
      </c>
    </row>
    <row r="100" spans="11:13" x14ac:dyDescent="0.25">
      <c r="L100" t="s">
        <v>691</v>
      </c>
    </row>
    <row r="101" spans="11:13" x14ac:dyDescent="0.25">
      <c r="L101">
        <v>2046</v>
      </c>
      <c r="M101" t="s">
        <v>54</v>
      </c>
    </row>
    <row r="102" spans="11:13" x14ac:dyDescent="0.25">
      <c r="L102">
        <v>5631</v>
      </c>
      <c r="M102" t="s">
        <v>688</v>
      </c>
    </row>
    <row r="103" spans="11:13" x14ac:dyDescent="0.25">
      <c r="L103">
        <v>5631</v>
      </c>
      <c r="M103" t="s">
        <v>689</v>
      </c>
    </row>
    <row r="104" spans="11:13" x14ac:dyDescent="0.25">
      <c r="L104">
        <f>L102+L103</f>
        <v>11262</v>
      </c>
      <c r="M104" t="s">
        <v>690</v>
      </c>
    </row>
    <row r="105" spans="11:13" x14ac:dyDescent="0.25">
      <c r="K105" s="365"/>
      <c r="L105" s="368">
        <f>$L$56*(1+$B$123*(2046-2023))</f>
        <v>9473.4599999999991</v>
      </c>
      <c r="M105" t="s">
        <v>692</v>
      </c>
    </row>
    <row r="106" spans="11:13" x14ac:dyDescent="0.25">
      <c r="L106" s="368">
        <f>IF($B$122=1,L105,L104)</f>
        <v>9473.4599999999991</v>
      </c>
      <c r="M106" t="s">
        <v>693</v>
      </c>
    </row>
    <row r="116" spans="1:4" x14ac:dyDescent="0.25">
      <c r="C116" t="s">
        <v>691</v>
      </c>
    </row>
    <row r="117" spans="1:4" x14ac:dyDescent="0.25">
      <c r="C117">
        <v>2046</v>
      </c>
      <c r="D117" t="s">
        <v>54</v>
      </c>
    </row>
    <row r="118" spans="1:4" x14ac:dyDescent="0.25">
      <c r="C118">
        <v>14414</v>
      </c>
      <c r="D118" t="s">
        <v>688</v>
      </c>
    </row>
    <row r="119" spans="1:4" x14ac:dyDescent="0.25">
      <c r="C119">
        <v>14414</v>
      </c>
      <c r="D119" t="s">
        <v>689</v>
      </c>
    </row>
    <row r="120" spans="1:4" x14ac:dyDescent="0.25">
      <c r="C120">
        <f>C118+C119</f>
        <v>28828</v>
      </c>
      <c r="D120" t="s">
        <v>690</v>
      </c>
    </row>
    <row r="121" spans="1:4" x14ac:dyDescent="0.25">
      <c r="A121" s="371" t="s">
        <v>694</v>
      </c>
    </row>
    <row r="122" spans="1:4" x14ac:dyDescent="0.25">
      <c r="A122" s="380" t="s">
        <v>695</v>
      </c>
      <c r="B122">
        <f>Inputs!E48</f>
        <v>1</v>
      </c>
    </row>
    <row r="123" spans="1:4" x14ac:dyDescent="0.25">
      <c r="A123" t="s">
        <v>696</v>
      </c>
      <c r="B123" s="370">
        <f>Inputs!E49</f>
        <v>0.01</v>
      </c>
      <c r="C123" s="368">
        <f>$D$71*(1+$B$123*(2046-2023))</f>
        <v>24255.599999999999</v>
      </c>
    </row>
    <row r="124" spans="1:4" x14ac:dyDescent="0.25">
      <c r="A124" t="s">
        <v>697</v>
      </c>
      <c r="C124" s="368">
        <f>IF($B$122=1,C123,C120)</f>
        <v>24255.599999999999</v>
      </c>
      <c r="D124" t="s">
        <v>693</v>
      </c>
    </row>
  </sheetData>
  <mergeCells count="35">
    <mergeCell ref="C14:C15"/>
    <mergeCell ref="D14:D15"/>
    <mergeCell ref="C22:C23"/>
    <mergeCell ref="D22:D23"/>
    <mergeCell ref="C1:C2"/>
    <mergeCell ref="D1:D2"/>
    <mergeCell ref="F1:G1"/>
    <mergeCell ref="F2:G2"/>
    <mergeCell ref="C8:C9"/>
    <mergeCell ref="D8:D9"/>
    <mergeCell ref="G4:M4"/>
    <mergeCell ref="G5:M5"/>
    <mergeCell ref="C30:C31"/>
    <mergeCell ref="D30:D31"/>
    <mergeCell ref="G33:M33"/>
    <mergeCell ref="G34:M34"/>
    <mergeCell ref="C37:C38"/>
    <mergeCell ref="D37:D38"/>
    <mergeCell ref="G26:M26"/>
    <mergeCell ref="G17:M17"/>
    <mergeCell ref="V48:V50"/>
    <mergeCell ref="P2:Q2"/>
    <mergeCell ref="V38:V40"/>
    <mergeCell ref="G41:M41"/>
    <mergeCell ref="G40:M40"/>
    <mergeCell ref="G18:M18"/>
    <mergeCell ref="G25:M25"/>
    <mergeCell ref="G11:M11"/>
    <mergeCell ref="G12:M12"/>
    <mergeCell ref="W38:AB38"/>
    <mergeCell ref="V21:V23"/>
    <mergeCell ref="V28:V30"/>
    <mergeCell ref="V13:V15"/>
    <mergeCell ref="V2:V4"/>
    <mergeCell ref="W2:AB2"/>
  </mergeCells>
  <pageMargins left="0.7" right="0.7" top="0.75" bottom="0.75" header="0.3" footer="0.3"/>
  <pageSetup orientation="portrait"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2E56B-2FB8-4065-9914-34ED5F60F74A}">
  <sheetPr>
    <tabColor theme="6"/>
  </sheetPr>
  <dimension ref="A1:AI2720"/>
  <sheetViews>
    <sheetView workbookViewId="0">
      <pane xSplit="4" ySplit="9" topLeftCell="E10" activePane="bottomRight" state="frozen"/>
      <selection pane="topRight" activeCell="E1" sqref="E1"/>
      <selection pane="bottomLeft" activeCell="A14" sqref="A14"/>
      <selection pane="bottomRight" activeCell="B7" sqref="B7"/>
    </sheetView>
  </sheetViews>
  <sheetFormatPr defaultRowHeight="15" x14ac:dyDescent="0.25"/>
  <cols>
    <col min="1" max="1" width="27.28515625" customWidth="1"/>
    <col min="2" max="2" width="38.85546875" customWidth="1"/>
  </cols>
  <sheetData>
    <row r="1" spans="1:35" ht="15" customHeight="1" thickBot="1" x14ac:dyDescent="0.3">
      <c r="B1" s="111"/>
    </row>
    <row r="2" spans="1:35" ht="15" customHeight="1" x14ac:dyDescent="0.25">
      <c r="B2" s="113" t="s">
        <v>698</v>
      </c>
    </row>
    <row r="3" spans="1:35" ht="15" customHeight="1" x14ac:dyDescent="0.25">
      <c r="B3" s="114" t="s">
        <v>699</v>
      </c>
      <c r="C3" s="115" t="s">
        <v>700</v>
      </c>
      <c r="D3" s="115" t="s">
        <v>701</v>
      </c>
      <c r="E3" s="115"/>
      <c r="F3" s="115"/>
      <c r="G3" s="115"/>
    </row>
    <row r="4" spans="1:35" ht="15" customHeight="1" x14ac:dyDescent="0.25">
      <c r="B4" s="116" t="s">
        <v>702</v>
      </c>
      <c r="C4" s="115" t="s">
        <v>703</v>
      </c>
      <c r="D4" s="115" t="s">
        <v>704</v>
      </c>
      <c r="E4" s="115"/>
      <c r="F4" s="115"/>
      <c r="G4" s="115"/>
    </row>
    <row r="5" spans="1:35" ht="15" customHeight="1" thickBot="1" x14ac:dyDescent="0.3">
      <c r="B5" s="117"/>
      <c r="C5" s="115" t="s">
        <v>705</v>
      </c>
      <c r="D5" s="115" t="s">
        <v>706</v>
      </c>
      <c r="E5" s="115"/>
      <c r="F5" s="115"/>
      <c r="G5" s="115"/>
    </row>
    <row r="6" spans="1:35" ht="15" customHeight="1" x14ac:dyDescent="0.25">
      <c r="C6" s="115"/>
      <c r="D6" s="115"/>
      <c r="E6" s="115"/>
      <c r="F6" s="115"/>
      <c r="G6" s="115"/>
    </row>
    <row r="7" spans="1:35" ht="15" customHeight="1" x14ac:dyDescent="0.25">
      <c r="A7" s="118"/>
      <c r="B7" s="119" t="s">
        <v>707</v>
      </c>
      <c r="AG7" s="120"/>
    </row>
    <row r="8" spans="1:35" ht="15" customHeight="1" x14ac:dyDescent="0.25">
      <c r="B8" s="111"/>
      <c r="C8" s="121"/>
      <c r="D8" s="121"/>
      <c r="E8" s="121"/>
      <c r="F8" s="121"/>
      <c r="G8" s="121"/>
      <c r="H8" s="121"/>
      <c r="I8" s="121"/>
      <c r="J8" s="121"/>
      <c r="K8" s="121"/>
      <c r="L8" s="121"/>
      <c r="M8" s="121"/>
      <c r="N8" s="121"/>
      <c r="O8" s="121"/>
      <c r="P8" s="121"/>
      <c r="Q8" s="121"/>
      <c r="R8" s="121"/>
      <c r="S8" s="121"/>
      <c r="T8" s="121"/>
      <c r="U8" s="121"/>
      <c r="V8" s="121"/>
      <c r="W8" s="121"/>
      <c r="X8" s="121"/>
      <c r="Y8" s="121"/>
      <c r="Z8" s="121"/>
      <c r="AA8" s="121"/>
      <c r="AB8" s="121"/>
      <c r="AC8" s="121"/>
      <c r="AD8" s="121"/>
      <c r="AE8" s="121"/>
      <c r="AF8" s="121"/>
      <c r="AG8" s="120"/>
    </row>
    <row r="9" spans="1:35" ht="15" customHeight="1" thickBot="1" x14ac:dyDescent="0.3">
      <c r="A9" s="112" t="s">
        <v>708</v>
      </c>
      <c r="B9" s="112"/>
      <c r="C9" s="112"/>
      <c r="D9" s="112"/>
      <c r="E9" s="112">
        <f>E11</f>
        <v>2021</v>
      </c>
      <c r="F9" s="112">
        <f t="shared" ref="F9:AH9" si="0">F11</f>
        <v>2022</v>
      </c>
      <c r="G9" s="112">
        <f t="shared" si="0"/>
        <v>2023</v>
      </c>
      <c r="H9" s="112">
        <f t="shared" si="0"/>
        <v>2024</v>
      </c>
      <c r="I9" s="112">
        <f t="shared" si="0"/>
        <v>2025</v>
      </c>
      <c r="J9" s="112">
        <f t="shared" si="0"/>
        <v>2026</v>
      </c>
      <c r="K9" s="112">
        <f t="shared" si="0"/>
        <v>2027</v>
      </c>
      <c r="L9" s="112">
        <f t="shared" si="0"/>
        <v>2028</v>
      </c>
      <c r="M9" s="112">
        <f t="shared" si="0"/>
        <v>2029</v>
      </c>
      <c r="N9" s="112">
        <f t="shared" si="0"/>
        <v>2030</v>
      </c>
      <c r="O9" s="112">
        <f t="shared" si="0"/>
        <v>2031</v>
      </c>
      <c r="P9" s="112">
        <f t="shared" si="0"/>
        <v>2032</v>
      </c>
      <c r="Q9" s="112">
        <f t="shared" si="0"/>
        <v>2033</v>
      </c>
      <c r="R9" s="112">
        <f t="shared" si="0"/>
        <v>2034</v>
      </c>
      <c r="S9" s="112">
        <f t="shared" si="0"/>
        <v>2035</v>
      </c>
      <c r="T9" s="112">
        <f t="shared" si="0"/>
        <v>2036</v>
      </c>
      <c r="U9" s="112">
        <f t="shared" si="0"/>
        <v>2037</v>
      </c>
      <c r="V9" s="112">
        <f t="shared" si="0"/>
        <v>2038</v>
      </c>
      <c r="W9" s="112">
        <f t="shared" si="0"/>
        <v>2039</v>
      </c>
      <c r="X9" s="112">
        <f t="shared" si="0"/>
        <v>2040</v>
      </c>
      <c r="Y9" s="112">
        <f t="shared" si="0"/>
        <v>2041</v>
      </c>
      <c r="Z9" s="112">
        <f t="shared" si="0"/>
        <v>2042</v>
      </c>
      <c r="AA9" s="112">
        <f t="shared" si="0"/>
        <v>2043</v>
      </c>
      <c r="AB9" s="112">
        <f t="shared" si="0"/>
        <v>2044</v>
      </c>
      <c r="AC9" s="112">
        <f t="shared" si="0"/>
        <v>2045</v>
      </c>
      <c r="AD9" s="112">
        <f t="shared" si="0"/>
        <v>2046</v>
      </c>
      <c r="AE9" s="112">
        <f t="shared" si="0"/>
        <v>2047</v>
      </c>
      <c r="AF9" s="112">
        <f t="shared" si="0"/>
        <v>2048</v>
      </c>
      <c r="AG9" s="112">
        <f t="shared" si="0"/>
        <v>2049</v>
      </c>
      <c r="AH9" s="112">
        <f t="shared" si="0"/>
        <v>2050</v>
      </c>
    </row>
    <row r="10" spans="1:35" ht="15" customHeight="1" thickTop="1" x14ac:dyDescent="0.25"/>
    <row r="11" spans="1:35" ht="15" customHeight="1" x14ac:dyDescent="0.25">
      <c r="B11" t="s">
        <v>709</v>
      </c>
      <c r="C11" t="s">
        <v>710</v>
      </c>
      <c r="D11" t="s">
        <v>711</v>
      </c>
      <c r="E11">
        <v>2021</v>
      </c>
      <c r="F11">
        <v>2022</v>
      </c>
      <c r="G11">
        <v>2023</v>
      </c>
      <c r="H11">
        <v>2024</v>
      </c>
      <c r="I11">
        <v>2025</v>
      </c>
      <c r="J11">
        <v>2026</v>
      </c>
      <c r="K11">
        <v>2027</v>
      </c>
      <c r="L11">
        <v>2028</v>
      </c>
      <c r="M11">
        <v>2029</v>
      </c>
      <c r="N11">
        <v>2030</v>
      </c>
      <c r="O11">
        <v>2031</v>
      </c>
      <c r="P11">
        <v>2032</v>
      </c>
      <c r="Q11">
        <v>2033</v>
      </c>
      <c r="R11">
        <v>2034</v>
      </c>
      <c r="S11">
        <v>2035</v>
      </c>
      <c r="T11">
        <v>2036</v>
      </c>
      <c r="U11">
        <v>2037</v>
      </c>
      <c r="V11">
        <v>2038</v>
      </c>
      <c r="W11">
        <v>2039</v>
      </c>
      <c r="X11">
        <v>2040</v>
      </c>
      <c r="Y11">
        <v>2041</v>
      </c>
      <c r="Z11">
        <v>2042</v>
      </c>
      <c r="AA11">
        <v>2043</v>
      </c>
      <c r="AB11">
        <v>2044</v>
      </c>
      <c r="AC11">
        <v>2045</v>
      </c>
      <c r="AD11">
        <v>2046</v>
      </c>
      <c r="AE11">
        <v>2047</v>
      </c>
      <c r="AF11">
        <v>2048</v>
      </c>
      <c r="AG11">
        <v>2049</v>
      </c>
      <c r="AH11">
        <v>2050</v>
      </c>
      <c r="AI11" t="s">
        <v>712</v>
      </c>
    </row>
    <row r="12" spans="1:35" ht="15" customHeight="1" x14ac:dyDescent="0.25">
      <c r="A12" t="s">
        <v>713</v>
      </c>
    </row>
    <row r="13" spans="1:35" ht="15" customHeight="1" x14ac:dyDescent="0.25">
      <c r="A13" t="s">
        <v>714</v>
      </c>
      <c r="B13" t="s">
        <v>715</v>
      </c>
      <c r="C13" t="s">
        <v>716</v>
      </c>
      <c r="D13" t="s">
        <v>717</v>
      </c>
      <c r="F13">
        <v>102.129997</v>
      </c>
      <c r="G13">
        <v>91.544692999999995</v>
      </c>
      <c r="H13">
        <v>92.531395000000003</v>
      </c>
      <c r="I13">
        <v>87.048607000000004</v>
      </c>
      <c r="J13">
        <v>87.882819999999995</v>
      </c>
      <c r="K13">
        <v>88.306426999999999</v>
      </c>
      <c r="L13">
        <v>88.879097000000002</v>
      </c>
      <c r="M13">
        <v>89.470894000000001</v>
      </c>
      <c r="N13">
        <v>90.163071000000002</v>
      </c>
      <c r="O13">
        <v>90.724143999999995</v>
      </c>
      <c r="P13">
        <v>91.546386999999996</v>
      </c>
      <c r="Q13">
        <v>92.007187000000002</v>
      </c>
      <c r="R13">
        <v>92.694916000000006</v>
      </c>
      <c r="S13">
        <v>93.552750000000003</v>
      </c>
      <c r="T13">
        <v>94.142882999999998</v>
      </c>
      <c r="U13">
        <v>94.796172999999996</v>
      </c>
      <c r="V13">
        <v>95.331740999999994</v>
      </c>
      <c r="W13">
        <v>95.867317</v>
      </c>
      <c r="X13">
        <v>96.392180999999994</v>
      </c>
      <c r="Y13">
        <v>96.938461000000004</v>
      </c>
      <c r="Z13">
        <v>97.381507999999997</v>
      </c>
      <c r="AA13">
        <v>97.758681999999993</v>
      </c>
      <c r="AB13">
        <v>98.241776000000002</v>
      </c>
      <c r="AC13">
        <v>98.596687000000003</v>
      </c>
      <c r="AD13">
        <v>99.377373000000006</v>
      </c>
      <c r="AE13">
        <v>99.794150999999999</v>
      </c>
      <c r="AF13">
        <v>100.384407</v>
      </c>
      <c r="AG13">
        <v>101.06875599999999</v>
      </c>
      <c r="AH13">
        <v>101.34071400000001</v>
      </c>
      <c r="AI13" s="122">
        <v>0</v>
      </c>
    </row>
    <row r="14" spans="1:35" ht="15" customHeight="1" x14ac:dyDescent="0.25">
      <c r="A14" t="s">
        <v>718</v>
      </c>
      <c r="B14" t="s">
        <v>719</v>
      </c>
      <c r="C14" t="s">
        <v>720</v>
      </c>
      <c r="D14" t="s">
        <v>717</v>
      </c>
      <c r="F14">
        <v>95.875998999999993</v>
      </c>
      <c r="G14">
        <v>85.782882999999998</v>
      </c>
      <c r="H14">
        <v>91.164046999999997</v>
      </c>
      <c r="I14">
        <v>85.233161999999993</v>
      </c>
      <c r="J14">
        <v>85.255095999999995</v>
      </c>
      <c r="K14">
        <v>85.532898000000003</v>
      </c>
      <c r="L14">
        <v>86.264731999999995</v>
      </c>
      <c r="M14">
        <v>86.738144000000005</v>
      </c>
      <c r="N14">
        <v>87.188271</v>
      </c>
      <c r="O14">
        <v>87.748749000000004</v>
      </c>
      <c r="P14">
        <v>88.512123000000003</v>
      </c>
      <c r="Q14">
        <v>88.937447000000006</v>
      </c>
      <c r="R14">
        <v>89.608727000000002</v>
      </c>
      <c r="S14">
        <v>90.032150000000001</v>
      </c>
      <c r="T14">
        <v>90.825806</v>
      </c>
      <c r="U14">
        <v>91.434028999999995</v>
      </c>
      <c r="V14">
        <v>91.807198</v>
      </c>
      <c r="W14">
        <v>92.341896000000006</v>
      </c>
      <c r="X14">
        <v>92.759917999999999</v>
      </c>
      <c r="Y14">
        <v>93.263626000000002</v>
      </c>
      <c r="Z14">
        <v>93.719948000000002</v>
      </c>
      <c r="AA14">
        <v>94.111892999999995</v>
      </c>
      <c r="AB14">
        <v>94.517478999999994</v>
      </c>
      <c r="AC14">
        <v>94.856955999999997</v>
      </c>
      <c r="AD14">
        <v>95.591453999999999</v>
      </c>
      <c r="AE14">
        <v>96.024887000000007</v>
      </c>
      <c r="AF14">
        <v>96.717949000000004</v>
      </c>
      <c r="AG14">
        <v>97.444785999999993</v>
      </c>
      <c r="AH14">
        <v>97.681374000000005</v>
      </c>
      <c r="AI14" s="122">
        <v>1E-3</v>
      </c>
    </row>
    <row r="15" spans="1:35" ht="15" customHeight="1" x14ac:dyDescent="0.25">
      <c r="A15" t="s">
        <v>721</v>
      </c>
      <c r="B15" t="s">
        <v>722</v>
      </c>
      <c r="C15" t="s">
        <v>723</v>
      </c>
      <c r="D15" t="s">
        <v>717</v>
      </c>
      <c r="F15">
        <v>93.169998000000007</v>
      </c>
      <c r="G15">
        <v>83.181426999999999</v>
      </c>
      <c r="H15">
        <v>89.115829000000005</v>
      </c>
      <c r="I15">
        <v>83.701424000000003</v>
      </c>
      <c r="J15">
        <v>83.868926999999999</v>
      </c>
      <c r="K15">
        <v>84.332938999999996</v>
      </c>
      <c r="L15">
        <v>84.598572000000004</v>
      </c>
      <c r="M15">
        <v>85.159949999999995</v>
      </c>
      <c r="N15">
        <v>85.657050999999996</v>
      </c>
      <c r="O15">
        <v>85.925101999999995</v>
      </c>
      <c r="P15">
        <v>86.563086999999996</v>
      </c>
      <c r="Q15">
        <v>86.998703000000006</v>
      </c>
      <c r="R15">
        <v>87.270179999999996</v>
      </c>
      <c r="S15">
        <v>87.783455000000004</v>
      </c>
      <c r="T15">
        <v>88.702636999999996</v>
      </c>
      <c r="U15">
        <v>89.085898999999998</v>
      </c>
      <c r="V15">
        <v>89.644301999999996</v>
      </c>
      <c r="W15">
        <v>90.130309999999994</v>
      </c>
      <c r="X15">
        <v>90.801186000000001</v>
      </c>
      <c r="Y15">
        <v>91.362633000000002</v>
      </c>
      <c r="Z15">
        <v>91.912300000000002</v>
      </c>
      <c r="AA15">
        <v>91.944991999999999</v>
      </c>
      <c r="AB15">
        <v>92.211074999999994</v>
      </c>
      <c r="AC15">
        <v>92.521377999999999</v>
      </c>
      <c r="AD15">
        <v>93.186806000000004</v>
      </c>
      <c r="AE15">
        <v>93.653473000000005</v>
      </c>
      <c r="AF15">
        <v>94.190331</v>
      </c>
      <c r="AG15">
        <v>94.782402000000005</v>
      </c>
      <c r="AH15">
        <v>95.239243000000002</v>
      </c>
      <c r="AI15" s="122">
        <v>1E-3</v>
      </c>
    </row>
    <row r="16" spans="1:35" ht="15" customHeight="1" x14ac:dyDescent="0.25">
      <c r="A16" t="s">
        <v>724</v>
      </c>
      <c r="B16" t="s">
        <v>725</v>
      </c>
      <c r="C16" t="s">
        <v>726</v>
      </c>
      <c r="D16" t="s">
        <v>717</v>
      </c>
      <c r="F16">
        <v>6.2539980000000002</v>
      </c>
      <c r="G16">
        <v>5.7618099999999997</v>
      </c>
      <c r="H16">
        <v>1.367348</v>
      </c>
      <c r="I16">
        <v>1.815445</v>
      </c>
      <c r="J16">
        <v>2.6277240000000002</v>
      </c>
      <c r="K16">
        <v>2.7735289999999999</v>
      </c>
      <c r="L16">
        <v>2.6143649999999998</v>
      </c>
      <c r="M16">
        <v>2.7327499999999998</v>
      </c>
      <c r="N16">
        <v>2.9748000000000001</v>
      </c>
      <c r="O16">
        <v>2.9753949999999998</v>
      </c>
      <c r="P16">
        <v>3.0342639999999999</v>
      </c>
      <c r="Q16">
        <v>3.0697399999999999</v>
      </c>
      <c r="R16">
        <v>3.0861890000000001</v>
      </c>
      <c r="S16">
        <v>3.5205989999999998</v>
      </c>
      <c r="T16">
        <v>3.317078</v>
      </c>
      <c r="U16">
        <v>3.3621439999999998</v>
      </c>
      <c r="V16">
        <v>3.5245440000000001</v>
      </c>
      <c r="W16">
        <v>3.5254210000000001</v>
      </c>
      <c r="X16">
        <v>3.632263</v>
      </c>
      <c r="Y16">
        <v>3.6748349999999999</v>
      </c>
      <c r="Z16">
        <v>3.6615600000000001</v>
      </c>
      <c r="AA16">
        <v>3.6467900000000002</v>
      </c>
      <c r="AB16">
        <v>3.724297</v>
      </c>
      <c r="AC16">
        <v>3.7397309999999999</v>
      </c>
      <c r="AD16">
        <v>3.7859189999999998</v>
      </c>
      <c r="AE16">
        <v>3.7692640000000002</v>
      </c>
      <c r="AF16">
        <v>3.666458</v>
      </c>
      <c r="AG16">
        <v>3.6239699999999999</v>
      </c>
      <c r="AH16">
        <v>3.6593399999999998</v>
      </c>
      <c r="AI16" s="122">
        <v>-1.9E-2</v>
      </c>
    </row>
    <row r="17" spans="1:35" ht="15" customHeight="1" x14ac:dyDescent="0.25">
      <c r="A17" t="s">
        <v>727</v>
      </c>
    </row>
    <row r="18" spans="1:35" ht="15" customHeight="1" x14ac:dyDescent="0.25">
      <c r="A18" t="s">
        <v>728</v>
      </c>
    </row>
    <row r="19" spans="1:35" ht="15" customHeight="1" x14ac:dyDescent="0.25">
      <c r="A19" t="s">
        <v>729</v>
      </c>
      <c r="B19" t="s">
        <v>730</v>
      </c>
      <c r="C19" t="s">
        <v>731</v>
      </c>
      <c r="D19" t="s">
        <v>732</v>
      </c>
      <c r="F19">
        <v>2.6643159999999999</v>
      </c>
      <c r="G19">
        <v>2.8630779999999998</v>
      </c>
      <c r="H19">
        <v>2.8797419999999998</v>
      </c>
      <c r="I19">
        <v>2.7814679999999998</v>
      </c>
      <c r="J19">
        <v>2.681082</v>
      </c>
      <c r="K19">
        <v>2.6001979999999998</v>
      </c>
      <c r="L19">
        <v>2.5540069999999999</v>
      </c>
      <c r="M19">
        <v>2.536594</v>
      </c>
      <c r="N19">
        <v>2.5447959999999998</v>
      </c>
      <c r="O19">
        <v>2.571148</v>
      </c>
      <c r="P19">
        <v>2.6134659999999998</v>
      </c>
      <c r="Q19">
        <v>2.6673170000000002</v>
      </c>
      <c r="R19">
        <v>2.7211690000000002</v>
      </c>
      <c r="S19">
        <v>2.7643490000000002</v>
      </c>
      <c r="T19">
        <v>2.796783</v>
      </c>
      <c r="U19">
        <v>2.8257850000000002</v>
      </c>
      <c r="V19">
        <v>2.8631180000000001</v>
      </c>
      <c r="W19">
        <v>2.8814160000000002</v>
      </c>
      <c r="X19">
        <v>2.9110900000000002</v>
      </c>
      <c r="Y19">
        <v>2.9402020000000002</v>
      </c>
      <c r="Z19">
        <v>2.961004</v>
      </c>
      <c r="AA19">
        <v>2.971813</v>
      </c>
      <c r="AB19">
        <v>2.9747400000000002</v>
      </c>
      <c r="AC19">
        <v>2.9815019999999999</v>
      </c>
      <c r="AD19">
        <v>3.0013160000000001</v>
      </c>
      <c r="AE19">
        <v>3.0050089999999998</v>
      </c>
      <c r="AF19">
        <v>3.012823</v>
      </c>
      <c r="AG19">
        <v>3.015603</v>
      </c>
      <c r="AH19">
        <v>3.0145979999999999</v>
      </c>
      <c r="AI19" s="122">
        <v>4.0000000000000001E-3</v>
      </c>
    </row>
    <row r="20" spans="1:35" x14ac:dyDescent="0.25">
      <c r="A20" t="s">
        <v>733</v>
      </c>
      <c r="B20" t="s">
        <v>734</v>
      </c>
      <c r="C20" t="s">
        <v>735</v>
      </c>
      <c r="D20" t="s">
        <v>732</v>
      </c>
      <c r="F20">
        <v>4.8463640000000003</v>
      </c>
      <c r="G20">
        <v>4.5140390000000004</v>
      </c>
      <c r="H20">
        <v>4.347709</v>
      </c>
      <c r="I20">
        <v>4.1217839999999999</v>
      </c>
      <c r="J20">
        <v>4.0582060000000002</v>
      </c>
      <c r="K20">
        <v>3.9971329999999998</v>
      </c>
      <c r="L20">
        <v>3.9580090000000001</v>
      </c>
      <c r="M20">
        <v>3.9700790000000001</v>
      </c>
      <c r="N20">
        <v>3.9710869999999998</v>
      </c>
      <c r="O20">
        <v>3.995463</v>
      </c>
      <c r="P20">
        <v>4.0073780000000001</v>
      </c>
      <c r="Q20">
        <v>4.0234160000000001</v>
      </c>
      <c r="R20">
        <v>4.0295750000000004</v>
      </c>
      <c r="S20">
        <v>4.053515</v>
      </c>
      <c r="T20">
        <v>4.0556989999999997</v>
      </c>
      <c r="U20">
        <v>4.0724479999999996</v>
      </c>
      <c r="V20">
        <v>4.0845859999999998</v>
      </c>
      <c r="W20">
        <v>4.0903140000000002</v>
      </c>
      <c r="X20">
        <v>4.0967500000000001</v>
      </c>
      <c r="Y20">
        <v>4.1182420000000004</v>
      </c>
      <c r="Z20">
        <v>4.1173159999999998</v>
      </c>
      <c r="AA20">
        <v>4.1329140000000004</v>
      </c>
      <c r="AB20">
        <v>4.1198990000000002</v>
      </c>
      <c r="AC20">
        <v>4.1259519999999998</v>
      </c>
      <c r="AD20">
        <v>4.1547200000000002</v>
      </c>
      <c r="AE20">
        <v>4.1582730000000003</v>
      </c>
      <c r="AF20">
        <v>4.1627400000000003</v>
      </c>
      <c r="AG20">
        <v>4.1717849999999999</v>
      </c>
      <c r="AH20">
        <v>4.1716879999999996</v>
      </c>
      <c r="AI20" s="122">
        <v>-5.0000000000000001E-3</v>
      </c>
    </row>
    <row r="21" spans="1:35" x14ac:dyDescent="0.25">
      <c r="A21" t="s">
        <v>736</v>
      </c>
    </row>
    <row r="22" spans="1:35" x14ac:dyDescent="0.25">
      <c r="A22" t="s">
        <v>733</v>
      </c>
      <c r="B22" t="s">
        <v>737</v>
      </c>
      <c r="C22" t="s">
        <v>738</v>
      </c>
      <c r="D22" t="s">
        <v>732</v>
      </c>
      <c r="F22">
        <v>4.8492800000000003</v>
      </c>
      <c r="G22">
        <v>4.5354159999999997</v>
      </c>
      <c r="H22">
        <v>4.2103200000000003</v>
      </c>
      <c r="I22">
        <v>3.8251140000000001</v>
      </c>
      <c r="J22">
        <v>3.5996990000000002</v>
      </c>
      <c r="K22">
        <v>3.3800509999999999</v>
      </c>
      <c r="L22">
        <v>3.1807460000000001</v>
      </c>
      <c r="M22">
        <v>3.1921550000000001</v>
      </c>
      <c r="N22">
        <v>3.1924000000000001</v>
      </c>
      <c r="O22">
        <v>3.215271</v>
      </c>
      <c r="P22">
        <v>3.2281240000000002</v>
      </c>
      <c r="Q22">
        <v>3.2425609999999998</v>
      </c>
      <c r="R22">
        <v>3.2499929999999999</v>
      </c>
      <c r="S22">
        <v>3.2709790000000001</v>
      </c>
      <c r="T22">
        <v>3.2745950000000001</v>
      </c>
      <c r="U22">
        <v>3.290133</v>
      </c>
      <c r="V22">
        <v>3.301542</v>
      </c>
      <c r="W22">
        <v>3.3072140000000001</v>
      </c>
      <c r="X22">
        <v>3.313672</v>
      </c>
      <c r="Y22">
        <v>3.3349549999999999</v>
      </c>
      <c r="Z22">
        <v>3.3340209999999999</v>
      </c>
      <c r="AA22">
        <v>3.3497509999999999</v>
      </c>
      <c r="AB22">
        <v>3.3373059999999999</v>
      </c>
      <c r="AC22">
        <v>3.346911</v>
      </c>
      <c r="AD22">
        <v>3.418501</v>
      </c>
      <c r="AE22">
        <v>3.4204050000000001</v>
      </c>
      <c r="AF22">
        <v>3.4248080000000001</v>
      </c>
      <c r="AG22">
        <v>3.4345129999999999</v>
      </c>
      <c r="AH22">
        <v>3.434647</v>
      </c>
      <c r="AI22" s="122">
        <v>-1.2E-2</v>
      </c>
    </row>
    <row r="23" spans="1:35" x14ac:dyDescent="0.25">
      <c r="A23" t="s">
        <v>739</v>
      </c>
      <c r="B23" t="s">
        <v>740</v>
      </c>
      <c r="C23" t="s">
        <v>741</v>
      </c>
      <c r="D23" t="s">
        <v>732</v>
      </c>
      <c r="F23">
        <v>1.8904399999999999</v>
      </c>
      <c r="G23">
        <v>1.177325</v>
      </c>
      <c r="H23">
        <v>1.412236</v>
      </c>
      <c r="I23">
        <v>1.457727</v>
      </c>
      <c r="J23">
        <v>1.666647</v>
      </c>
      <c r="K23">
        <v>1.8763049999999999</v>
      </c>
      <c r="L23">
        <v>2.0994519999999999</v>
      </c>
      <c r="M23">
        <v>2.1110579999999999</v>
      </c>
      <c r="N23">
        <v>2.1236519999999999</v>
      </c>
      <c r="O23">
        <v>2.139758</v>
      </c>
      <c r="P23">
        <v>2.154433</v>
      </c>
      <c r="Q23">
        <v>2.1678649999999999</v>
      </c>
      <c r="R23">
        <v>2.1828439999999998</v>
      </c>
      <c r="S23">
        <v>2.1996030000000002</v>
      </c>
      <c r="T23">
        <v>2.2129699999999999</v>
      </c>
      <c r="U23">
        <v>2.227471</v>
      </c>
      <c r="V23">
        <v>2.2432460000000001</v>
      </c>
      <c r="W23">
        <v>2.2532719999999999</v>
      </c>
      <c r="X23">
        <v>2.2659319999999998</v>
      </c>
      <c r="Y23">
        <v>2.2849089999999999</v>
      </c>
      <c r="Z23">
        <v>2.286969</v>
      </c>
      <c r="AA23">
        <v>2.2973309999999998</v>
      </c>
      <c r="AB23">
        <v>2.3017270000000001</v>
      </c>
      <c r="AC23">
        <v>2.3101980000000002</v>
      </c>
      <c r="AD23">
        <v>2.334409</v>
      </c>
      <c r="AE23">
        <v>2.3342909999999999</v>
      </c>
      <c r="AF23">
        <v>2.352319</v>
      </c>
      <c r="AG23">
        <v>2.365767</v>
      </c>
      <c r="AH23">
        <v>2.3760479999999999</v>
      </c>
      <c r="AI23" s="122">
        <v>8.0000000000000002E-3</v>
      </c>
    </row>
    <row r="24" spans="1:35" x14ac:dyDescent="0.25">
      <c r="A24" t="s">
        <v>742</v>
      </c>
      <c r="B24" t="s">
        <v>740</v>
      </c>
      <c r="C24" t="s">
        <v>743</v>
      </c>
      <c r="D24" t="s">
        <v>717</v>
      </c>
      <c r="F24">
        <v>79.398491000000007</v>
      </c>
      <c r="G24">
        <v>49.447670000000002</v>
      </c>
      <c r="H24">
        <v>59.313910999999997</v>
      </c>
      <c r="I24">
        <v>61.224522</v>
      </c>
      <c r="J24">
        <v>69.999184</v>
      </c>
      <c r="K24">
        <v>78.804794000000001</v>
      </c>
      <c r="L24">
        <v>88.176963999999998</v>
      </c>
      <c r="M24">
        <v>88.664444000000003</v>
      </c>
      <c r="N24">
        <v>89.193382</v>
      </c>
      <c r="O24">
        <v>89.869820000000004</v>
      </c>
      <c r="P24">
        <v>90.486191000000005</v>
      </c>
      <c r="Q24">
        <v>91.050346000000005</v>
      </c>
      <c r="R24">
        <v>91.679443000000006</v>
      </c>
      <c r="S24">
        <v>92.383324000000002</v>
      </c>
      <c r="T24">
        <v>92.944762999999995</v>
      </c>
      <c r="U24">
        <v>93.553771999999995</v>
      </c>
      <c r="V24">
        <v>94.216346999999999</v>
      </c>
      <c r="W24">
        <v>94.637428</v>
      </c>
      <c r="X24">
        <v>95.169144000000003</v>
      </c>
      <c r="Y24">
        <v>95.966194000000002</v>
      </c>
      <c r="Z24">
        <v>96.052711000000002</v>
      </c>
      <c r="AA24">
        <v>96.487915000000001</v>
      </c>
      <c r="AB24">
        <v>96.672522999999998</v>
      </c>
      <c r="AC24">
        <v>97.028312999999997</v>
      </c>
      <c r="AD24">
        <v>98.045188999999993</v>
      </c>
      <c r="AE24">
        <v>98.040199000000001</v>
      </c>
      <c r="AF24">
        <v>98.797393999999997</v>
      </c>
      <c r="AG24">
        <v>99.362212999999997</v>
      </c>
      <c r="AH24">
        <v>99.794021999999998</v>
      </c>
      <c r="AI24" s="122">
        <v>8.0000000000000002E-3</v>
      </c>
    </row>
    <row r="25" spans="1:35" x14ac:dyDescent="0.25">
      <c r="A25" t="s">
        <v>744</v>
      </c>
    </row>
    <row r="26" spans="1:35" x14ac:dyDescent="0.25">
      <c r="A26" t="s">
        <v>729</v>
      </c>
      <c r="B26" t="s">
        <v>745</v>
      </c>
      <c r="C26" t="s">
        <v>746</v>
      </c>
      <c r="D26" t="s">
        <v>732</v>
      </c>
      <c r="F26">
        <v>2.1431879999999999</v>
      </c>
      <c r="G26">
        <v>1.963403</v>
      </c>
      <c r="H26">
        <v>1.7563899999999999</v>
      </c>
      <c r="I26">
        <v>1.5550539999999999</v>
      </c>
      <c r="J26">
        <v>1.457074</v>
      </c>
      <c r="K26">
        <v>1.405451</v>
      </c>
      <c r="L26">
        <v>1.396488</v>
      </c>
      <c r="M26">
        <v>1.408512</v>
      </c>
      <c r="N26">
        <v>1.438361</v>
      </c>
      <c r="O26">
        <v>1.4768140000000001</v>
      </c>
      <c r="P26">
        <v>1.5256419999999999</v>
      </c>
      <c r="Q26">
        <v>1.5801799999999999</v>
      </c>
      <c r="R26">
        <v>1.6250610000000001</v>
      </c>
      <c r="S26">
        <v>1.651143</v>
      </c>
      <c r="T26">
        <v>1.666981</v>
      </c>
      <c r="U26">
        <v>1.6858869999999999</v>
      </c>
      <c r="V26">
        <v>1.722269</v>
      </c>
      <c r="W26">
        <v>1.7224630000000001</v>
      </c>
      <c r="X26">
        <v>1.753614</v>
      </c>
      <c r="Y26">
        <v>1.7780860000000001</v>
      </c>
      <c r="Z26">
        <v>1.788373</v>
      </c>
      <c r="AA26">
        <v>1.7879309999999999</v>
      </c>
      <c r="AB26">
        <v>1.7823910000000001</v>
      </c>
      <c r="AC26">
        <v>1.7880469999999999</v>
      </c>
      <c r="AD26">
        <v>1.787463</v>
      </c>
      <c r="AE26">
        <v>1.791263</v>
      </c>
      <c r="AF26">
        <v>1.801131</v>
      </c>
      <c r="AG26">
        <v>1.7997559999999999</v>
      </c>
      <c r="AH26">
        <v>1.795212</v>
      </c>
      <c r="AI26" s="122">
        <v>-6.0000000000000001E-3</v>
      </c>
    </row>
    <row r="27" spans="1:35" x14ac:dyDescent="0.25">
      <c r="A27" t="s">
        <v>733</v>
      </c>
      <c r="B27" t="s">
        <v>747</v>
      </c>
      <c r="C27" t="s">
        <v>748</v>
      </c>
      <c r="D27" t="s">
        <v>732</v>
      </c>
      <c r="F27">
        <v>4.838775</v>
      </c>
      <c r="G27">
        <v>4.5111429999999997</v>
      </c>
      <c r="H27">
        <v>4.191262</v>
      </c>
      <c r="I27">
        <v>3.8006980000000001</v>
      </c>
      <c r="J27">
        <v>3.5697489999999998</v>
      </c>
      <c r="K27">
        <v>3.345469</v>
      </c>
      <c r="L27">
        <v>3.1411560000000001</v>
      </c>
      <c r="M27">
        <v>3.154404</v>
      </c>
      <c r="N27">
        <v>3.1552929999999999</v>
      </c>
      <c r="O27">
        <v>3.178633</v>
      </c>
      <c r="P27">
        <v>3.1927840000000001</v>
      </c>
      <c r="Q27">
        <v>3.2095259999999999</v>
      </c>
      <c r="R27">
        <v>3.2171979999999998</v>
      </c>
      <c r="S27">
        <v>3.2407659999999998</v>
      </c>
      <c r="T27">
        <v>3.244532</v>
      </c>
      <c r="U27">
        <v>3.2617189999999998</v>
      </c>
      <c r="V27">
        <v>3.2740960000000001</v>
      </c>
      <c r="W27">
        <v>3.2807770000000001</v>
      </c>
      <c r="X27">
        <v>3.2883239999999998</v>
      </c>
      <c r="Y27">
        <v>3.3109489999999999</v>
      </c>
      <c r="Z27">
        <v>3.3110439999999999</v>
      </c>
      <c r="AA27">
        <v>3.3282090000000002</v>
      </c>
      <c r="AB27">
        <v>3.3171210000000002</v>
      </c>
      <c r="AC27">
        <v>3.3249339999999998</v>
      </c>
      <c r="AD27">
        <v>3.355874</v>
      </c>
      <c r="AE27">
        <v>3.359229</v>
      </c>
      <c r="AF27">
        <v>3.3648400000000001</v>
      </c>
      <c r="AG27">
        <v>3.3754819999999999</v>
      </c>
      <c r="AH27">
        <v>3.3764479999999999</v>
      </c>
      <c r="AI27" s="122">
        <v>-1.2999999999999999E-2</v>
      </c>
    </row>
    <row r="28" spans="1:35" x14ac:dyDescent="0.25">
      <c r="A28" t="s">
        <v>739</v>
      </c>
      <c r="B28" t="s">
        <v>749</v>
      </c>
      <c r="C28" t="s">
        <v>750</v>
      </c>
      <c r="D28" t="s">
        <v>732</v>
      </c>
      <c r="F28">
        <v>1.9976419999999999</v>
      </c>
      <c r="G28">
        <v>1.271792</v>
      </c>
      <c r="H28">
        <v>1.5221199999999999</v>
      </c>
      <c r="I28">
        <v>1.607081</v>
      </c>
      <c r="J28">
        <v>1.83802</v>
      </c>
      <c r="K28">
        <v>2.0842230000000002</v>
      </c>
      <c r="L28">
        <v>2.326254</v>
      </c>
      <c r="M28">
        <v>2.3387730000000002</v>
      </c>
      <c r="N28">
        <v>2.3543880000000001</v>
      </c>
      <c r="O28">
        <v>2.372655</v>
      </c>
      <c r="P28">
        <v>2.3906550000000002</v>
      </c>
      <c r="Q28">
        <v>2.4077679999999999</v>
      </c>
      <c r="R28">
        <v>2.4258229999999998</v>
      </c>
      <c r="S28">
        <v>2.4452539999999998</v>
      </c>
      <c r="T28">
        <v>2.460013</v>
      </c>
      <c r="U28">
        <v>2.4755509999999998</v>
      </c>
      <c r="V28">
        <v>2.4935779999999999</v>
      </c>
      <c r="W28">
        <v>2.5050490000000001</v>
      </c>
      <c r="X28">
        <v>2.519933</v>
      </c>
      <c r="Y28">
        <v>2.5404770000000001</v>
      </c>
      <c r="Z28">
        <v>2.5436290000000001</v>
      </c>
      <c r="AA28">
        <v>2.5546519999999999</v>
      </c>
      <c r="AB28">
        <v>2.5531950000000001</v>
      </c>
      <c r="AC28">
        <v>2.5622569999999998</v>
      </c>
      <c r="AD28">
        <v>2.5884939999999999</v>
      </c>
      <c r="AE28">
        <v>2.5892140000000001</v>
      </c>
      <c r="AF28">
        <v>2.6063320000000001</v>
      </c>
      <c r="AG28">
        <v>2.6191870000000002</v>
      </c>
      <c r="AH28">
        <v>2.630169</v>
      </c>
      <c r="AI28" s="122">
        <v>0.01</v>
      </c>
    </row>
    <row r="29" spans="1:35" ht="15" customHeight="1" x14ac:dyDescent="0.25">
      <c r="A29" t="s">
        <v>742</v>
      </c>
      <c r="B29" t="s">
        <v>749</v>
      </c>
      <c r="C29" t="s">
        <v>751</v>
      </c>
      <c r="D29" t="s">
        <v>717</v>
      </c>
      <c r="F29">
        <v>83.900963000000004</v>
      </c>
      <c r="G29">
        <v>53.415267999999998</v>
      </c>
      <c r="H29">
        <v>63.929031000000002</v>
      </c>
      <c r="I29">
        <v>67.497398000000004</v>
      </c>
      <c r="J29">
        <v>77.196831000000003</v>
      </c>
      <c r="K29">
        <v>87.537368999999998</v>
      </c>
      <c r="L29">
        <v>97.702674999999999</v>
      </c>
      <c r="M29">
        <v>98.228470000000002</v>
      </c>
      <c r="N29">
        <v>98.884315000000001</v>
      </c>
      <c r="O29">
        <v>99.651497000000006</v>
      </c>
      <c r="P29">
        <v>100.407509</v>
      </c>
      <c r="Q29">
        <v>101.12623600000001</v>
      </c>
      <c r="R29">
        <v>101.88458300000001</v>
      </c>
      <c r="S29">
        <v>102.700684</v>
      </c>
      <c r="T29">
        <v>103.320564</v>
      </c>
      <c r="U29">
        <v>103.97315999999999</v>
      </c>
      <c r="V29">
        <v>104.730293</v>
      </c>
      <c r="W29">
        <v>105.212067</v>
      </c>
      <c r="X29">
        <v>105.837181</v>
      </c>
      <c r="Y29">
        <v>106.70005</v>
      </c>
      <c r="Z29">
        <v>106.83242799999999</v>
      </c>
      <c r="AA29">
        <v>107.295372</v>
      </c>
      <c r="AB29">
        <v>107.23421500000001</v>
      </c>
      <c r="AC29">
        <v>107.614799</v>
      </c>
      <c r="AD29">
        <v>108.716728</v>
      </c>
      <c r="AE29">
        <v>108.746979</v>
      </c>
      <c r="AF29">
        <v>109.46595000000001</v>
      </c>
      <c r="AG29">
        <v>110.005844</v>
      </c>
      <c r="AH29">
        <v>110.467102</v>
      </c>
      <c r="AI29" s="122">
        <v>0.01</v>
      </c>
    </row>
    <row r="30" spans="1:35" ht="15" customHeight="1" x14ac:dyDescent="0.25">
      <c r="A30" t="s">
        <v>752</v>
      </c>
    </row>
    <row r="31" spans="1:35" ht="15" customHeight="1" x14ac:dyDescent="0.25">
      <c r="A31" t="s">
        <v>729</v>
      </c>
      <c r="B31" t="s">
        <v>753</v>
      </c>
      <c r="C31" t="s">
        <v>754</v>
      </c>
      <c r="D31" t="s">
        <v>732</v>
      </c>
      <c r="F31">
        <v>2.3479260000000002</v>
      </c>
      <c r="G31">
        <v>2.2066249999999998</v>
      </c>
      <c r="H31">
        <v>2.0551140000000001</v>
      </c>
      <c r="I31">
        <v>1.9036690000000001</v>
      </c>
      <c r="J31">
        <v>1.8289500000000001</v>
      </c>
      <c r="K31">
        <v>1.788991</v>
      </c>
      <c r="L31">
        <v>1.7826040000000001</v>
      </c>
      <c r="M31">
        <v>1.7926709999999999</v>
      </c>
      <c r="N31">
        <v>1.816743</v>
      </c>
      <c r="O31">
        <v>1.847197</v>
      </c>
      <c r="P31">
        <v>1.885391</v>
      </c>
      <c r="Q31">
        <v>1.9274119999999999</v>
      </c>
      <c r="R31">
        <v>1.9613529999999999</v>
      </c>
      <c r="S31">
        <v>1.9806859999999999</v>
      </c>
      <c r="T31">
        <v>1.9923599999999999</v>
      </c>
      <c r="U31">
        <v>2.0064739999999999</v>
      </c>
      <c r="V31">
        <v>2.0337640000000001</v>
      </c>
      <c r="W31">
        <v>2.033407</v>
      </c>
      <c r="X31">
        <v>2.056775</v>
      </c>
      <c r="Y31">
        <v>2.074668</v>
      </c>
      <c r="Z31">
        <v>2.0819719999999999</v>
      </c>
      <c r="AA31">
        <v>2.0814759999999999</v>
      </c>
      <c r="AB31">
        <v>2.0773579999999998</v>
      </c>
      <c r="AC31">
        <v>2.082856</v>
      </c>
      <c r="AD31">
        <v>2.1056810000000001</v>
      </c>
      <c r="AE31">
        <v>2.108654</v>
      </c>
      <c r="AF31">
        <v>2.1160830000000002</v>
      </c>
      <c r="AG31">
        <v>2.115075</v>
      </c>
      <c r="AH31">
        <v>2.1118459999999999</v>
      </c>
      <c r="AI31" s="122">
        <v>-4.0000000000000001E-3</v>
      </c>
    </row>
    <row r="32" spans="1:35" ht="15" customHeight="1" x14ac:dyDescent="0.25">
      <c r="A32" t="s">
        <v>755</v>
      </c>
      <c r="B32" t="s">
        <v>756</v>
      </c>
      <c r="C32" t="s">
        <v>757</v>
      </c>
      <c r="D32" t="s">
        <v>732</v>
      </c>
      <c r="F32">
        <v>3.6287739999999999</v>
      </c>
      <c r="G32">
        <v>3.2092299999999998</v>
      </c>
      <c r="H32">
        <v>3.082716</v>
      </c>
      <c r="I32">
        <v>2.877373</v>
      </c>
      <c r="J32">
        <v>2.8500909999999999</v>
      </c>
      <c r="K32">
        <v>2.8347180000000001</v>
      </c>
      <c r="L32">
        <v>2.8384230000000001</v>
      </c>
      <c r="M32">
        <v>2.8456999999999999</v>
      </c>
      <c r="N32">
        <v>2.8585970000000001</v>
      </c>
      <c r="O32">
        <v>2.856427</v>
      </c>
      <c r="P32">
        <v>2.8747340000000001</v>
      </c>
      <c r="Q32">
        <v>2.8845730000000001</v>
      </c>
      <c r="R32">
        <v>2.8976389999999999</v>
      </c>
      <c r="S32">
        <v>2.90673</v>
      </c>
      <c r="T32">
        <v>2.941217</v>
      </c>
      <c r="U32">
        <v>2.9479160000000002</v>
      </c>
      <c r="V32">
        <v>2.959406</v>
      </c>
      <c r="W32">
        <v>2.974275</v>
      </c>
      <c r="X32">
        <v>2.9800339999999998</v>
      </c>
      <c r="Y32">
        <v>2.981684</v>
      </c>
      <c r="Z32">
        <v>2.9911240000000001</v>
      </c>
      <c r="AA32">
        <v>2.98021</v>
      </c>
      <c r="AB32">
        <v>3.0009670000000002</v>
      </c>
      <c r="AC32">
        <v>3.0034200000000002</v>
      </c>
      <c r="AD32">
        <v>3.083377</v>
      </c>
      <c r="AE32">
        <v>3.0842700000000001</v>
      </c>
      <c r="AF32">
        <v>3.111135</v>
      </c>
      <c r="AG32">
        <v>3.1206330000000002</v>
      </c>
      <c r="AH32">
        <v>3.1498550000000001</v>
      </c>
      <c r="AI32" s="122">
        <v>-5.0000000000000001E-3</v>
      </c>
    </row>
    <row r="33" spans="1:35" ht="15" customHeight="1" x14ac:dyDescent="0.25">
      <c r="A33" t="s">
        <v>758</v>
      </c>
      <c r="B33" t="s">
        <v>759</v>
      </c>
      <c r="C33" t="s">
        <v>760</v>
      </c>
      <c r="D33" t="s">
        <v>732</v>
      </c>
      <c r="F33">
        <v>1.5593049999999999</v>
      </c>
      <c r="G33">
        <v>1.5593049999999999</v>
      </c>
      <c r="H33">
        <v>1.581998</v>
      </c>
      <c r="I33">
        <v>1.4752050000000001</v>
      </c>
      <c r="J33">
        <v>1.472151</v>
      </c>
      <c r="K33">
        <v>1.46807</v>
      </c>
      <c r="L33">
        <v>1.466637</v>
      </c>
      <c r="M33">
        <v>1.464696</v>
      </c>
      <c r="N33">
        <v>1.4683649999999999</v>
      </c>
      <c r="O33">
        <v>1.467147</v>
      </c>
      <c r="P33">
        <v>1.463506</v>
      </c>
      <c r="Q33">
        <v>1.421122</v>
      </c>
      <c r="R33">
        <v>1.435924</v>
      </c>
      <c r="S33">
        <v>1.40917</v>
      </c>
      <c r="T33">
        <v>1.4301889999999999</v>
      </c>
      <c r="U33">
        <v>1.4173990000000001</v>
      </c>
      <c r="V33">
        <v>1.4003920000000001</v>
      </c>
      <c r="W33">
        <v>1.3850180000000001</v>
      </c>
      <c r="X33">
        <v>1.383724</v>
      </c>
      <c r="Y33">
        <v>1.373453</v>
      </c>
      <c r="Z33">
        <v>1.37069</v>
      </c>
      <c r="AA33">
        <v>1.3708800000000001</v>
      </c>
      <c r="AB33">
        <v>1.4269849999999999</v>
      </c>
      <c r="AC33">
        <v>1.4443699999999999</v>
      </c>
      <c r="AD33">
        <v>1.495598</v>
      </c>
      <c r="AE33">
        <v>1.478124</v>
      </c>
      <c r="AF33">
        <v>1.4730019999999999</v>
      </c>
      <c r="AG33">
        <v>1.507854</v>
      </c>
      <c r="AH33">
        <v>1.7244600000000001</v>
      </c>
      <c r="AI33" s="122">
        <v>4.0000000000000001E-3</v>
      </c>
    </row>
    <row r="34" spans="1:35" s="327" customFormat="1" ht="15" customHeight="1" x14ac:dyDescent="0.25">
      <c r="A34" s="327" t="s">
        <v>761</v>
      </c>
      <c r="B34" s="327" t="s">
        <v>762</v>
      </c>
      <c r="C34" s="327" t="s">
        <v>763</v>
      </c>
      <c r="D34" s="327" t="s">
        <v>732</v>
      </c>
      <c r="F34" s="327">
        <v>4.1839969999999997</v>
      </c>
      <c r="G34" s="327">
        <v>3.6677590000000002</v>
      </c>
      <c r="H34" s="327">
        <v>3.3247</v>
      </c>
      <c r="I34" s="327">
        <v>3.1027680000000002</v>
      </c>
      <c r="J34" s="327">
        <v>3.069134</v>
      </c>
      <c r="K34" s="327">
        <v>3.050068</v>
      </c>
      <c r="L34" s="327">
        <v>3.0508000000000002</v>
      </c>
      <c r="M34" s="327">
        <v>3.0554380000000001</v>
      </c>
      <c r="N34" s="327">
        <v>3.065353</v>
      </c>
      <c r="O34" s="327">
        <v>3.0602819999999999</v>
      </c>
      <c r="P34" s="327">
        <v>3.075698</v>
      </c>
      <c r="Q34" s="327">
        <v>3.0825239999999998</v>
      </c>
      <c r="R34" s="327">
        <v>3.0924680000000002</v>
      </c>
      <c r="S34" s="327">
        <v>3.0986539999999998</v>
      </c>
      <c r="T34" s="327">
        <v>3.1315810000000002</v>
      </c>
      <c r="U34" s="327">
        <v>3.1356619999999999</v>
      </c>
      <c r="V34" s="327">
        <v>3.1447769999999999</v>
      </c>
      <c r="W34" s="327">
        <v>3.1580710000000001</v>
      </c>
      <c r="X34" s="327">
        <v>3.161826</v>
      </c>
      <c r="Y34" s="327">
        <v>3.161508</v>
      </c>
      <c r="Z34" s="327">
        <v>3.169308</v>
      </c>
      <c r="AA34" s="327">
        <v>3.1561599999999999</v>
      </c>
      <c r="AB34" s="327">
        <v>3.1765319999999999</v>
      </c>
      <c r="AC34" s="327">
        <v>3.1773859999999998</v>
      </c>
      <c r="AD34" s="327">
        <v>3.2653660000000002</v>
      </c>
      <c r="AE34" s="327">
        <v>3.2646809999999999</v>
      </c>
      <c r="AF34" s="327">
        <v>3.2908629999999999</v>
      </c>
      <c r="AG34" s="327">
        <v>3.2989959999999998</v>
      </c>
      <c r="AH34" s="327">
        <v>3.327496</v>
      </c>
      <c r="AI34" s="328">
        <v>-8.0000000000000002E-3</v>
      </c>
    </row>
    <row r="35" spans="1:35" ht="15" customHeight="1" x14ac:dyDescent="0.25">
      <c r="A35" t="s">
        <v>764</v>
      </c>
      <c r="B35" t="s">
        <v>765</v>
      </c>
      <c r="C35" t="s">
        <v>766</v>
      </c>
      <c r="D35" t="s">
        <v>732</v>
      </c>
      <c r="F35">
        <v>3.6098750000000002</v>
      </c>
      <c r="G35">
        <v>3.0466530000000001</v>
      </c>
      <c r="H35">
        <v>2.9238960000000001</v>
      </c>
      <c r="I35">
        <v>2.7237170000000002</v>
      </c>
      <c r="J35">
        <v>2.6927949999999998</v>
      </c>
      <c r="K35">
        <v>2.6613739999999999</v>
      </c>
      <c r="L35">
        <v>2.6486499999999999</v>
      </c>
      <c r="M35">
        <v>2.6639539999999999</v>
      </c>
      <c r="N35">
        <v>2.6669100000000001</v>
      </c>
      <c r="O35">
        <v>2.6962769999999998</v>
      </c>
      <c r="P35">
        <v>2.717784</v>
      </c>
      <c r="Q35">
        <v>2.7295210000000001</v>
      </c>
      <c r="R35">
        <v>2.7497220000000002</v>
      </c>
      <c r="S35">
        <v>2.770591</v>
      </c>
      <c r="T35">
        <v>2.7839860000000001</v>
      </c>
      <c r="U35">
        <v>2.8007270000000002</v>
      </c>
      <c r="V35">
        <v>2.8173349999999999</v>
      </c>
      <c r="W35">
        <v>2.8305150000000001</v>
      </c>
      <c r="X35">
        <v>2.8468330000000002</v>
      </c>
      <c r="Y35">
        <v>2.874746</v>
      </c>
      <c r="Z35">
        <v>2.8813240000000002</v>
      </c>
      <c r="AA35">
        <v>2.9034469999999999</v>
      </c>
      <c r="AB35">
        <v>2.8980489999999999</v>
      </c>
      <c r="AC35">
        <v>2.9190800000000001</v>
      </c>
      <c r="AD35">
        <v>2.9625029999999999</v>
      </c>
      <c r="AE35">
        <v>2.968712</v>
      </c>
      <c r="AF35">
        <v>2.9768970000000001</v>
      </c>
      <c r="AG35">
        <v>2.9904410000000001</v>
      </c>
      <c r="AH35">
        <v>2.9943379999999999</v>
      </c>
      <c r="AI35" s="122">
        <v>-7.0000000000000001E-3</v>
      </c>
    </row>
    <row r="36" spans="1:35" s="327" customFormat="1" ht="15" customHeight="1" x14ac:dyDescent="0.25">
      <c r="A36" s="327" t="s">
        <v>767</v>
      </c>
      <c r="B36" s="327" t="s">
        <v>768</v>
      </c>
      <c r="C36" s="327" t="s">
        <v>769</v>
      </c>
      <c r="D36" s="327" t="s">
        <v>732</v>
      </c>
      <c r="F36" s="327">
        <v>5.1050589999999998</v>
      </c>
      <c r="G36" s="327">
        <v>4.5184139999999999</v>
      </c>
      <c r="H36" s="327">
        <v>4.2866369999999998</v>
      </c>
      <c r="I36" s="327">
        <v>3.996505</v>
      </c>
      <c r="J36" s="327">
        <v>3.8693710000000001</v>
      </c>
      <c r="K36" s="327">
        <v>3.7410540000000001</v>
      </c>
      <c r="L36" s="327">
        <v>3.6345890000000001</v>
      </c>
      <c r="M36" s="327">
        <v>3.647751</v>
      </c>
      <c r="N36" s="327">
        <v>3.6511490000000002</v>
      </c>
      <c r="O36" s="327">
        <v>3.6727180000000001</v>
      </c>
      <c r="P36" s="327">
        <v>3.6899760000000001</v>
      </c>
      <c r="Q36" s="327">
        <v>3.7063929999999998</v>
      </c>
      <c r="R36" s="327">
        <v>3.7128269999999999</v>
      </c>
      <c r="S36" s="327">
        <v>3.7413090000000002</v>
      </c>
      <c r="T36" s="327">
        <v>3.7421289999999998</v>
      </c>
      <c r="U36" s="327">
        <v>3.7611910000000002</v>
      </c>
      <c r="V36" s="327">
        <v>3.7750789999999999</v>
      </c>
      <c r="W36" s="327">
        <v>3.7809750000000002</v>
      </c>
      <c r="X36" s="327">
        <v>3.787541</v>
      </c>
      <c r="Y36" s="327">
        <v>3.810997</v>
      </c>
      <c r="Z36" s="327">
        <v>3.8124370000000001</v>
      </c>
      <c r="AA36" s="327">
        <v>3.8289230000000001</v>
      </c>
      <c r="AB36" s="327">
        <v>3.8159420000000002</v>
      </c>
      <c r="AC36" s="327">
        <v>3.82362</v>
      </c>
      <c r="AD36" s="327">
        <v>3.9042400000000002</v>
      </c>
      <c r="AE36" s="327">
        <v>3.9077069999999998</v>
      </c>
      <c r="AF36" s="327">
        <v>3.9143530000000002</v>
      </c>
      <c r="AG36" s="327">
        <v>3.9231009999999999</v>
      </c>
      <c r="AH36" s="327">
        <v>3.9241450000000002</v>
      </c>
      <c r="AI36" s="328">
        <v>-8.9999999999999993E-3</v>
      </c>
    </row>
    <row r="37" spans="1:35" ht="15" customHeight="1" x14ac:dyDescent="0.25">
      <c r="A37" t="s">
        <v>739</v>
      </c>
      <c r="B37" t="s">
        <v>770</v>
      </c>
      <c r="C37" t="s">
        <v>771</v>
      </c>
      <c r="D37" t="s">
        <v>732</v>
      </c>
      <c r="F37">
        <v>2.3040080000000001</v>
      </c>
      <c r="G37">
        <v>2.3279770000000002</v>
      </c>
      <c r="H37">
        <v>2.5897610000000002</v>
      </c>
      <c r="I37">
        <v>2.4563440000000001</v>
      </c>
      <c r="J37">
        <v>2.4590679999999998</v>
      </c>
      <c r="K37">
        <v>2.4703020000000002</v>
      </c>
      <c r="L37">
        <v>2.4751850000000002</v>
      </c>
      <c r="M37">
        <v>2.48699</v>
      </c>
      <c r="N37">
        <v>2.5019779999999998</v>
      </c>
      <c r="O37">
        <v>2.5135969999999999</v>
      </c>
      <c r="P37">
        <v>2.5283009999999999</v>
      </c>
      <c r="Q37">
        <v>2.542367</v>
      </c>
      <c r="R37">
        <v>2.5562969999999998</v>
      </c>
      <c r="S37">
        <v>2.5734979999999998</v>
      </c>
      <c r="T37">
        <v>2.5821580000000002</v>
      </c>
      <c r="U37">
        <v>2.5956999999999999</v>
      </c>
      <c r="V37">
        <v>2.6105429999999998</v>
      </c>
      <c r="W37">
        <v>2.6213199999999999</v>
      </c>
      <c r="X37">
        <v>2.6310989999999999</v>
      </c>
      <c r="Y37">
        <v>2.6474310000000001</v>
      </c>
      <c r="Z37">
        <v>2.6513390000000001</v>
      </c>
      <c r="AA37">
        <v>2.6629170000000002</v>
      </c>
      <c r="AB37">
        <v>2.6625019999999999</v>
      </c>
      <c r="AC37">
        <v>2.6692269999999998</v>
      </c>
      <c r="AD37">
        <v>2.6963599999999999</v>
      </c>
      <c r="AE37">
        <v>2.6958600000000001</v>
      </c>
      <c r="AF37">
        <v>2.7113369999999999</v>
      </c>
      <c r="AG37">
        <v>2.7242839999999999</v>
      </c>
      <c r="AH37">
        <v>2.7377379999999998</v>
      </c>
      <c r="AI37" s="122">
        <v>6.0000000000000001E-3</v>
      </c>
    </row>
    <row r="38" spans="1:35" ht="15" customHeight="1" x14ac:dyDescent="0.25">
      <c r="A38" t="s">
        <v>742</v>
      </c>
      <c r="B38" t="s">
        <v>770</v>
      </c>
      <c r="C38" t="s">
        <v>772</v>
      </c>
      <c r="D38" t="s">
        <v>717</v>
      </c>
      <c r="F38">
        <v>96.768317999999994</v>
      </c>
      <c r="G38">
        <v>97.775040000000004</v>
      </c>
      <c r="H38">
        <v>108.769981</v>
      </c>
      <c r="I38">
        <v>103.16643500000001</v>
      </c>
      <c r="J38">
        <v>103.280869</v>
      </c>
      <c r="K38">
        <v>103.752701</v>
      </c>
      <c r="L38">
        <v>103.957787</v>
      </c>
      <c r="M38">
        <v>104.453575</v>
      </c>
      <c r="N38">
        <v>105.08306899999999</v>
      </c>
      <c r="O38">
        <v>105.57107499999999</v>
      </c>
      <c r="P38">
        <v>106.18862900000001</v>
      </c>
      <c r="Q38">
        <v>106.779404</v>
      </c>
      <c r="R38">
        <v>107.364464</v>
      </c>
      <c r="S38">
        <v>108.086929</v>
      </c>
      <c r="T38">
        <v>108.45062299999999</v>
      </c>
      <c r="U38">
        <v>109.019402</v>
      </c>
      <c r="V38">
        <v>109.642792</v>
      </c>
      <c r="W38">
        <v>110.095421</v>
      </c>
      <c r="X38">
        <v>110.506165</v>
      </c>
      <c r="Y38">
        <v>111.192108</v>
      </c>
      <c r="Z38">
        <v>111.35623200000001</v>
      </c>
      <c r="AA38">
        <v>111.842499</v>
      </c>
      <c r="AB38">
        <v>111.82508900000001</v>
      </c>
      <c r="AC38">
        <v>112.107552</v>
      </c>
      <c r="AD38">
        <v>113.247139</v>
      </c>
      <c r="AE38">
        <v>113.226105</v>
      </c>
      <c r="AF38">
        <v>113.876167</v>
      </c>
      <c r="AG38">
        <v>114.41992999999999</v>
      </c>
      <c r="AH38">
        <v>114.985016</v>
      </c>
      <c r="AI38" s="122">
        <v>6.0000000000000001E-3</v>
      </c>
    </row>
    <row r="39" spans="1:35" ht="15" customHeight="1" x14ac:dyDescent="0.25">
      <c r="A39" t="s">
        <v>773</v>
      </c>
    </row>
    <row r="40" spans="1:35" ht="15" customHeight="1" x14ac:dyDescent="0.25">
      <c r="A40" t="s">
        <v>733</v>
      </c>
      <c r="B40" t="s">
        <v>774</v>
      </c>
      <c r="C40" t="s">
        <v>775</v>
      </c>
      <c r="D40" t="s">
        <v>732</v>
      </c>
      <c r="F40">
        <v>4.8486900000000004</v>
      </c>
      <c r="G40">
        <v>4.5254430000000001</v>
      </c>
      <c r="H40">
        <v>4.2241049999999998</v>
      </c>
      <c r="I40">
        <v>3.8336610000000002</v>
      </c>
      <c r="J40">
        <v>3.6123069999999999</v>
      </c>
      <c r="K40">
        <v>3.3906109999999998</v>
      </c>
      <c r="L40">
        <v>3.1805569999999999</v>
      </c>
      <c r="M40">
        <v>3.2053769999999999</v>
      </c>
      <c r="N40">
        <v>3.2244760000000001</v>
      </c>
      <c r="O40">
        <v>3.2227969999999999</v>
      </c>
      <c r="P40">
        <v>3.2384010000000001</v>
      </c>
      <c r="Q40">
        <v>3.2372359999999998</v>
      </c>
      <c r="R40">
        <v>3.2561330000000002</v>
      </c>
      <c r="S40">
        <v>3.2694070000000002</v>
      </c>
      <c r="T40">
        <v>3.279118</v>
      </c>
      <c r="U40">
        <v>3.2860149999999999</v>
      </c>
      <c r="V40">
        <v>3.291461</v>
      </c>
      <c r="W40">
        <v>3.301774</v>
      </c>
      <c r="X40">
        <v>3.314584</v>
      </c>
      <c r="Y40">
        <v>3.3363809999999998</v>
      </c>
      <c r="Z40">
        <v>3.3352900000000001</v>
      </c>
      <c r="AA40">
        <v>3.3507389999999999</v>
      </c>
      <c r="AB40">
        <v>3.3427419999999999</v>
      </c>
      <c r="AC40">
        <v>3.3585750000000001</v>
      </c>
      <c r="AD40">
        <v>3.3915470000000001</v>
      </c>
      <c r="AE40">
        <v>3.396712</v>
      </c>
      <c r="AF40">
        <v>3.4034450000000001</v>
      </c>
      <c r="AG40">
        <v>3.4199099999999998</v>
      </c>
      <c r="AH40">
        <v>3.4207770000000002</v>
      </c>
      <c r="AI40" s="122">
        <v>-1.2E-2</v>
      </c>
    </row>
    <row r="41" spans="1:35" ht="15" customHeight="1" x14ac:dyDescent="0.25">
      <c r="A41" t="s">
        <v>739</v>
      </c>
      <c r="B41" t="s">
        <v>776</v>
      </c>
      <c r="C41" t="s">
        <v>777</v>
      </c>
      <c r="D41" t="s">
        <v>732</v>
      </c>
      <c r="F41">
        <v>3.2552680000000001</v>
      </c>
      <c r="G41">
        <v>2.7817859999999999</v>
      </c>
      <c r="H41">
        <v>2.759954</v>
      </c>
      <c r="I41">
        <v>2.608609</v>
      </c>
      <c r="J41">
        <v>2.6040359999999998</v>
      </c>
      <c r="K41">
        <v>2.6122320000000001</v>
      </c>
      <c r="L41">
        <v>2.6114250000000001</v>
      </c>
      <c r="M41">
        <v>2.620187</v>
      </c>
      <c r="N41">
        <v>2.6323599999999998</v>
      </c>
      <c r="O41">
        <v>2.6387049999999999</v>
      </c>
      <c r="P41">
        <v>2.6515689999999998</v>
      </c>
      <c r="Q41">
        <v>2.662893</v>
      </c>
      <c r="R41">
        <v>2.6735549999999999</v>
      </c>
      <c r="S41">
        <v>2.6913299999999998</v>
      </c>
      <c r="T41">
        <v>2.6992050000000001</v>
      </c>
      <c r="U41">
        <v>2.7084830000000002</v>
      </c>
      <c r="V41">
        <v>2.7191109999999998</v>
      </c>
      <c r="W41">
        <v>2.7277149999999999</v>
      </c>
      <c r="X41">
        <v>2.729606</v>
      </c>
      <c r="Y41">
        <v>2.725908</v>
      </c>
      <c r="Z41">
        <v>2.7102970000000002</v>
      </c>
      <c r="AA41">
        <v>2.6926060000000001</v>
      </c>
      <c r="AB41">
        <v>2.663948</v>
      </c>
      <c r="AC41">
        <v>2.6315249999999999</v>
      </c>
      <c r="AD41">
        <v>2.664361</v>
      </c>
      <c r="AE41">
        <v>2.6684269999999999</v>
      </c>
      <c r="AF41">
        <v>2.6841569999999999</v>
      </c>
      <c r="AG41">
        <v>2.6984469999999998</v>
      </c>
      <c r="AH41">
        <v>2.708278</v>
      </c>
      <c r="AI41" s="122">
        <v>-7.0000000000000001E-3</v>
      </c>
    </row>
    <row r="42" spans="1:35" ht="15" customHeight="1" x14ac:dyDescent="0.25">
      <c r="A42" t="s">
        <v>742</v>
      </c>
      <c r="B42" t="s">
        <v>776</v>
      </c>
      <c r="C42" t="s">
        <v>778</v>
      </c>
      <c r="D42" t="s">
        <v>717</v>
      </c>
      <c r="F42">
        <v>136.721237</v>
      </c>
      <c r="G42">
        <v>116.835022</v>
      </c>
      <c r="H42">
        <v>115.91806800000001</v>
      </c>
      <c r="I42">
        <v>109.561584</v>
      </c>
      <c r="J42">
        <v>109.36949199999999</v>
      </c>
      <c r="K42">
        <v>109.713745</v>
      </c>
      <c r="L42">
        <v>109.679855</v>
      </c>
      <c r="M42">
        <v>110.047844</v>
      </c>
      <c r="N42">
        <v>110.55914300000001</v>
      </c>
      <c r="O42">
        <v>110.82560700000001</v>
      </c>
      <c r="P42">
        <v>111.365891</v>
      </c>
      <c r="Q42">
        <v>111.84148399999999</v>
      </c>
      <c r="R42">
        <v>112.28929100000001</v>
      </c>
      <c r="S42">
        <v>113.035873</v>
      </c>
      <c r="T42">
        <v>113.366631</v>
      </c>
      <c r="U42">
        <v>113.756271</v>
      </c>
      <c r="V42">
        <v>114.202682</v>
      </c>
      <c r="W42">
        <v>114.56403400000001</v>
      </c>
      <c r="X42">
        <v>114.64344</v>
      </c>
      <c r="Y42">
        <v>114.488136</v>
      </c>
      <c r="Z42">
        <v>113.832466</v>
      </c>
      <c r="AA42">
        <v>113.089439</v>
      </c>
      <c r="AB42">
        <v>111.885803</v>
      </c>
      <c r="AC42">
        <v>110.524033</v>
      </c>
      <c r="AD42">
        <v>111.90316799999999</v>
      </c>
      <c r="AE42">
        <v>112.073914</v>
      </c>
      <c r="AF42">
        <v>112.734596</v>
      </c>
      <c r="AG42">
        <v>113.334763</v>
      </c>
      <c r="AH42">
        <v>113.747665</v>
      </c>
      <c r="AI42" s="122">
        <v>-7.0000000000000001E-3</v>
      </c>
    </row>
    <row r="43" spans="1:35" ht="15" customHeight="1" x14ac:dyDescent="0.25">
      <c r="A43" t="s">
        <v>779</v>
      </c>
      <c r="B43" t="s">
        <v>780</v>
      </c>
    </row>
    <row r="44" spans="1:35" x14ac:dyDescent="0.25">
      <c r="A44" t="s">
        <v>729</v>
      </c>
      <c r="B44" t="s">
        <v>781</v>
      </c>
      <c r="C44" t="s">
        <v>782</v>
      </c>
      <c r="D44" t="s">
        <v>732</v>
      </c>
      <c r="F44">
        <v>2.567952</v>
      </c>
      <c r="G44">
        <v>2.6395970000000002</v>
      </c>
      <c r="H44">
        <v>2.5220400000000001</v>
      </c>
      <c r="I44">
        <v>2.3806780000000001</v>
      </c>
      <c r="J44">
        <v>2.2791610000000002</v>
      </c>
      <c r="K44">
        <v>2.2087379999999999</v>
      </c>
      <c r="L44">
        <v>2.1763780000000001</v>
      </c>
      <c r="M44">
        <v>2.1687729999999998</v>
      </c>
      <c r="N44">
        <v>2.1835800000000001</v>
      </c>
      <c r="O44">
        <v>2.212358</v>
      </c>
      <c r="P44">
        <v>2.2536510000000001</v>
      </c>
      <c r="Q44">
        <v>2.304405</v>
      </c>
      <c r="R44">
        <v>2.3509370000000001</v>
      </c>
      <c r="S44">
        <v>2.3835130000000002</v>
      </c>
      <c r="T44">
        <v>2.4058440000000001</v>
      </c>
      <c r="U44">
        <v>2.4271250000000002</v>
      </c>
      <c r="V44">
        <v>2.46034</v>
      </c>
      <c r="W44">
        <v>2.4682279999999999</v>
      </c>
      <c r="X44">
        <v>2.4952610000000002</v>
      </c>
      <c r="Y44">
        <v>2.5194239999999999</v>
      </c>
      <c r="Z44">
        <v>2.5330879999999998</v>
      </c>
      <c r="AA44">
        <v>2.5369320000000002</v>
      </c>
      <c r="AB44">
        <v>2.5344229999999999</v>
      </c>
      <c r="AC44">
        <v>2.5390929999999998</v>
      </c>
      <c r="AD44">
        <v>2.5535030000000001</v>
      </c>
      <c r="AE44">
        <v>2.555444</v>
      </c>
      <c r="AF44">
        <v>2.5623779999999998</v>
      </c>
      <c r="AG44">
        <v>2.5619000000000001</v>
      </c>
      <c r="AH44">
        <v>2.5577700000000001</v>
      </c>
      <c r="AI44" s="122">
        <v>0</v>
      </c>
    </row>
    <row r="45" spans="1:35" ht="15" customHeight="1" x14ac:dyDescent="0.25">
      <c r="A45" t="s">
        <v>761</v>
      </c>
      <c r="B45" t="s">
        <v>783</v>
      </c>
      <c r="C45" t="s">
        <v>784</v>
      </c>
      <c r="D45" t="s">
        <v>732</v>
      </c>
      <c r="F45">
        <v>4.1836200000000003</v>
      </c>
      <c r="G45">
        <v>3.6619549999999998</v>
      </c>
      <c r="H45">
        <v>3.3248639999999998</v>
      </c>
      <c r="I45">
        <v>3.1057049999999999</v>
      </c>
      <c r="J45">
        <v>3.0728080000000002</v>
      </c>
      <c r="K45">
        <v>3.0532469999999998</v>
      </c>
      <c r="L45">
        <v>3.0528710000000001</v>
      </c>
      <c r="M45">
        <v>3.057626</v>
      </c>
      <c r="N45">
        <v>3.0676570000000001</v>
      </c>
      <c r="O45">
        <v>3.0627360000000001</v>
      </c>
      <c r="P45">
        <v>3.078265</v>
      </c>
      <c r="Q45">
        <v>3.0852170000000001</v>
      </c>
      <c r="R45">
        <v>3.0952579999999998</v>
      </c>
      <c r="S45">
        <v>3.1015570000000001</v>
      </c>
      <c r="T45">
        <v>3.134493</v>
      </c>
      <c r="U45">
        <v>3.1386980000000002</v>
      </c>
      <c r="V45">
        <v>3.1479089999999998</v>
      </c>
      <c r="W45">
        <v>3.1612650000000002</v>
      </c>
      <c r="X45">
        <v>3.1651120000000001</v>
      </c>
      <c r="Y45">
        <v>3.164898</v>
      </c>
      <c r="Z45">
        <v>3.1727780000000001</v>
      </c>
      <c r="AA45">
        <v>3.159735</v>
      </c>
      <c r="AB45">
        <v>3.1801680000000001</v>
      </c>
      <c r="AC45">
        <v>3.1811430000000001</v>
      </c>
      <c r="AD45">
        <v>3.2696860000000001</v>
      </c>
      <c r="AE45">
        <v>3.269069</v>
      </c>
      <c r="AF45">
        <v>3.2952659999999998</v>
      </c>
      <c r="AG45">
        <v>3.3034560000000002</v>
      </c>
      <c r="AH45">
        <v>3.3319719999999999</v>
      </c>
      <c r="AI45" s="122">
        <v>-8.0000000000000002E-3</v>
      </c>
    </row>
    <row r="46" spans="1:35" ht="15" customHeight="1" x14ac:dyDescent="0.25">
      <c r="A46" t="s">
        <v>764</v>
      </c>
      <c r="B46" t="s">
        <v>785</v>
      </c>
      <c r="C46" t="s">
        <v>786</v>
      </c>
      <c r="D46" t="s">
        <v>732</v>
      </c>
      <c r="F46">
        <v>3.6098750000000002</v>
      </c>
      <c r="G46">
        <v>3.0466530000000001</v>
      </c>
      <c r="H46">
        <v>2.9238960000000001</v>
      </c>
      <c r="I46">
        <v>2.7237170000000002</v>
      </c>
      <c r="J46">
        <v>2.6927949999999998</v>
      </c>
      <c r="K46">
        <v>2.6613739999999999</v>
      </c>
      <c r="L46">
        <v>2.6486499999999999</v>
      </c>
      <c r="M46">
        <v>2.6639539999999999</v>
      </c>
      <c r="N46">
        <v>2.6669100000000001</v>
      </c>
      <c r="O46">
        <v>2.6962769999999998</v>
      </c>
      <c r="P46">
        <v>2.717784</v>
      </c>
      <c r="Q46">
        <v>2.7295210000000001</v>
      </c>
      <c r="R46">
        <v>2.7497220000000002</v>
      </c>
      <c r="S46">
        <v>2.770591</v>
      </c>
      <c r="T46">
        <v>2.7839860000000001</v>
      </c>
      <c r="U46">
        <v>2.8007270000000002</v>
      </c>
      <c r="V46">
        <v>2.8173349999999999</v>
      </c>
      <c r="W46">
        <v>2.8305150000000001</v>
      </c>
      <c r="X46">
        <v>2.8468330000000002</v>
      </c>
      <c r="Y46">
        <v>2.874746</v>
      </c>
      <c r="Z46">
        <v>2.8813240000000002</v>
      </c>
      <c r="AA46">
        <v>2.9034469999999999</v>
      </c>
      <c r="AB46">
        <v>2.8980489999999999</v>
      </c>
      <c r="AC46">
        <v>2.9190800000000001</v>
      </c>
      <c r="AD46">
        <v>2.9625029999999999</v>
      </c>
      <c r="AE46">
        <v>2.968712</v>
      </c>
      <c r="AF46">
        <v>2.9768970000000001</v>
      </c>
      <c r="AG46">
        <v>2.9904410000000001</v>
      </c>
      <c r="AH46">
        <v>2.9943379999999999</v>
      </c>
      <c r="AI46" s="122">
        <v>-7.0000000000000001E-3</v>
      </c>
    </row>
    <row r="47" spans="1:35" ht="15" customHeight="1" x14ac:dyDescent="0.25">
      <c r="A47" t="s">
        <v>733</v>
      </c>
      <c r="B47" t="s">
        <v>787</v>
      </c>
      <c r="C47" t="s">
        <v>788</v>
      </c>
      <c r="D47" t="s">
        <v>732</v>
      </c>
      <c r="F47">
        <v>5.0437149999999997</v>
      </c>
      <c r="G47">
        <v>4.5170019999999997</v>
      </c>
      <c r="H47">
        <v>4.2724820000000001</v>
      </c>
      <c r="I47">
        <v>3.9676870000000002</v>
      </c>
      <c r="J47">
        <v>3.8243260000000001</v>
      </c>
      <c r="K47">
        <v>3.6825730000000001</v>
      </c>
      <c r="L47">
        <v>3.56162</v>
      </c>
      <c r="M47">
        <v>3.5750510000000002</v>
      </c>
      <c r="N47">
        <v>3.5763799999999999</v>
      </c>
      <c r="O47">
        <v>3.5994060000000001</v>
      </c>
      <c r="P47">
        <v>3.6140110000000001</v>
      </c>
      <c r="Q47">
        <v>3.6315849999999998</v>
      </c>
      <c r="R47">
        <v>3.637683</v>
      </c>
      <c r="S47">
        <v>3.6633939999999998</v>
      </c>
      <c r="T47">
        <v>3.6649419999999999</v>
      </c>
      <c r="U47">
        <v>3.6825190000000001</v>
      </c>
      <c r="V47">
        <v>3.6947510000000001</v>
      </c>
      <c r="W47">
        <v>3.7008740000000002</v>
      </c>
      <c r="X47">
        <v>3.7076720000000001</v>
      </c>
      <c r="Y47">
        <v>3.7295069999999999</v>
      </c>
      <c r="Z47">
        <v>3.7288619999999999</v>
      </c>
      <c r="AA47">
        <v>3.7453210000000001</v>
      </c>
      <c r="AB47">
        <v>3.7334369999999999</v>
      </c>
      <c r="AC47">
        <v>3.741387</v>
      </c>
      <c r="AD47">
        <v>3.808516</v>
      </c>
      <c r="AE47">
        <v>3.811788</v>
      </c>
      <c r="AF47">
        <v>3.8165610000000001</v>
      </c>
      <c r="AG47">
        <v>3.8263159999999998</v>
      </c>
      <c r="AH47">
        <v>3.8265769999999999</v>
      </c>
      <c r="AI47" s="122">
        <v>-0.01</v>
      </c>
    </row>
    <row r="48" spans="1:35" ht="15" customHeight="1" x14ac:dyDescent="0.25">
      <c r="A48" t="s">
        <v>739</v>
      </c>
      <c r="B48" t="s">
        <v>789</v>
      </c>
      <c r="C48" t="s">
        <v>790</v>
      </c>
      <c r="D48" t="s">
        <v>732</v>
      </c>
      <c r="F48">
        <v>2.327985</v>
      </c>
      <c r="G48">
        <v>2.2464140000000001</v>
      </c>
      <c r="H48">
        <v>2.5193629999999998</v>
      </c>
      <c r="I48">
        <v>2.4086319999999999</v>
      </c>
      <c r="J48">
        <v>2.4282970000000001</v>
      </c>
      <c r="K48">
        <v>2.4554330000000002</v>
      </c>
      <c r="L48">
        <v>2.4744329999999999</v>
      </c>
      <c r="M48">
        <v>2.4861930000000001</v>
      </c>
      <c r="N48">
        <v>2.501036</v>
      </c>
      <c r="O48">
        <v>2.5127009999999999</v>
      </c>
      <c r="P48">
        <v>2.52738</v>
      </c>
      <c r="Q48">
        <v>2.5412710000000001</v>
      </c>
      <c r="R48">
        <v>2.5550389999999998</v>
      </c>
      <c r="S48">
        <v>2.5721609999999999</v>
      </c>
      <c r="T48">
        <v>2.580854</v>
      </c>
      <c r="U48">
        <v>2.5939559999999999</v>
      </c>
      <c r="V48">
        <v>2.6083630000000002</v>
      </c>
      <c r="W48">
        <v>2.618859</v>
      </c>
      <c r="X48">
        <v>2.628136</v>
      </c>
      <c r="Y48">
        <v>2.643081</v>
      </c>
      <c r="Z48">
        <v>2.6454710000000001</v>
      </c>
      <c r="AA48">
        <v>2.6553290000000001</v>
      </c>
      <c r="AB48">
        <v>2.6534450000000001</v>
      </c>
      <c r="AC48">
        <v>2.6587149999999999</v>
      </c>
      <c r="AD48">
        <v>2.6861109999999999</v>
      </c>
      <c r="AE48">
        <v>2.685797</v>
      </c>
      <c r="AF48">
        <v>2.7013210000000001</v>
      </c>
      <c r="AG48">
        <v>2.7142460000000002</v>
      </c>
      <c r="AH48">
        <v>2.7272090000000002</v>
      </c>
      <c r="AI48" s="122">
        <v>6.0000000000000001E-3</v>
      </c>
    </row>
    <row r="49" spans="1:35" ht="15" customHeight="1" x14ac:dyDescent="0.25">
      <c r="A49" t="s">
        <v>742</v>
      </c>
      <c r="B49" t="s">
        <v>789</v>
      </c>
      <c r="C49" t="s">
        <v>791</v>
      </c>
      <c r="D49" t="s">
        <v>717</v>
      </c>
      <c r="F49">
        <v>97.775383000000005</v>
      </c>
      <c r="G49">
        <v>94.349379999999996</v>
      </c>
      <c r="H49">
        <v>105.813255</v>
      </c>
      <c r="I49">
        <v>101.16256</v>
      </c>
      <c r="J49">
        <v>101.98848700000001</v>
      </c>
      <c r="K49">
        <v>103.128204</v>
      </c>
      <c r="L49">
        <v>103.92617</v>
      </c>
      <c r="M49">
        <v>104.42012</v>
      </c>
      <c r="N49">
        <v>105.043533</v>
      </c>
      <c r="O49">
        <v>105.53344</v>
      </c>
      <c r="P49">
        <v>106.14997099999999</v>
      </c>
      <c r="Q49">
        <v>106.73337600000001</v>
      </c>
      <c r="R49">
        <v>107.31165300000001</v>
      </c>
      <c r="S49">
        <v>108.030754</v>
      </c>
      <c r="T49">
        <v>108.395882</v>
      </c>
      <c r="U49">
        <v>108.94615899999999</v>
      </c>
      <c r="V49">
        <v>109.55126199999999</v>
      </c>
      <c r="W49">
        <v>109.992081</v>
      </c>
      <c r="X49">
        <v>110.381699</v>
      </c>
      <c r="Y49">
        <v>111.009407</v>
      </c>
      <c r="Z49">
        <v>111.109787</v>
      </c>
      <c r="AA49">
        <v>111.523827</v>
      </c>
      <c r="AB49">
        <v>111.444695</v>
      </c>
      <c r="AC49">
        <v>111.66604599999999</v>
      </c>
      <c r="AD49">
        <v>112.816681</v>
      </c>
      <c r="AE49">
        <v>112.80347399999999</v>
      </c>
      <c r="AF49">
        <v>113.455467</v>
      </c>
      <c r="AG49">
        <v>113.99833700000001</v>
      </c>
      <c r="AH49">
        <v>114.54278600000001</v>
      </c>
      <c r="AI49" s="122">
        <v>6.0000000000000001E-3</v>
      </c>
    </row>
    <row r="50" spans="1:35" ht="15" customHeight="1" x14ac:dyDescent="0.25">
      <c r="A50" t="s">
        <v>792</v>
      </c>
      <c r="B50" t="s">
        <v>793</v>
      </c>
      <c r="C50" t="s">
        <v>794</v>
      </c>
      <c r="D50" t="s">
        <v>732</v>
      </c>
      <c r="F50">
        <v>3.6236540000000002</v>
      </c>
      <c r="G50">
        <v>3.1975440000000002</v>
      </c>
      <c r="H50">
        <v>2.9665219999999999</v>
      </c>
      <c r="I50">
        <v>2.75047</v>
      </c>
      <c r="J50">
        <v>2.6742520000000001</v>
      </c>
      <c r="K50">
        <v>2.6097760000000001</v>
      </c>
      <c r="L50">
        <v>2.568613</v>
      </c>
      <c r="M50">
        <v>2.5648659999999999</v>
      </c>
      <c r="N50">
        <v>2.563437</v>
      </c>
      <c r="O50">
        <v>2.56839</v>
      </c>
      <c r="P50">
        <v>2.5791580000000001</v>
      </c>
      <c r="Q50">
        <v>2.5877849999999998</v>
      </c>
      <c r="R50">
        <v>2.5931289999999998</v>
      </c>
      <c r="S50">
        <v>2.6014979999999999</v>
      </c>
      <c r="T50">
        <v>2.6131440000000001</v>
      </c>
      <c r="U50">
        <v>2.6200999999999999</v>
      </c>
      <c r="V50">
        <v>2.631872</v>
      </c>
      <c r="W50">
        <v>2.6322890000000001</v>
      </c>
      <c r="X50">
        <v>2.6405099999999999</v>
      </c>
      <c r="Y50">
        <v>2.6460360000000001</v>
      </c>
      <c r="Z50">
        <v>2.6463749999999999</v>
      </c>
      <c r="AA50">
        <v>2.6417600000000001</v>
      </c>
      <c r="AB50">
        <v>2.6448640000000001</v>
      </c>
      <c r="AC50">
        <v>2.6500590000000002</v>
      </c>
      <c r="AD50">
        <v>2.7027139999999998</v>
      </c>
      <c r="AE50">
        <v>2.7062560000000002</v>
      </c>
      <c r="AF50">
        <v>2.7217069999999999</v>
      </c>
      <c r="AG50">
        <v>2.729587</v>
      </c>
      <c r="AH50">
        <v>2.7414200000000002</v>
      </c>
      <c r="AI50" s="122">
        <v>-0.01</v>
      </c>
    </row>
    <row r="51" spans="1:35" ht="15" customHeight="1" x14ac:dyDescent="0.25">
      <c r="A51" t="s">
        <v>795</v>
      </c>
    </row>
    <row r="52" spans="1:35" ht="15" customHeight="1" x14ac:dyDescent="0.25">
      <c r="A52" t="s">
        <v>796</v>
      </c>
    </row>
    <row r="53" spans="1:35" ht="15" customHeight="1" x14ac:dyDescent="0.25">
      <c r="A53" t="s">
        <v>714</v>
      </c>
      <c r="B53" t="s">
        <v>797</v>
      </c>
      <c r="C53" t="s">
        <v>798</v>
      </c>
      <c r="D53" t="s">
        <v>799</v>
      </c>
      <c r="F53">
        <v>102.129997</v>
      </c>
      <c r="G53">
        <v>95.329002000000003</v>
      </c>
      <c r="H53">
        <v>98.708404999999999</v>
      </c>
      <c r="I53">
        <v>94.878890999999996</v>
      </c>
      <c r="J53">
        <v>97.830475000000007</v>
      </c>
      <c r="K53">
        <v>100.425552</v>
      </c>
      <c r="L53">
        <v>103.260544</v>
      </c>
      <c r="M53">
        <v>106.227829</v>
      </c>
      <c r="N53">
        <v>109.43918600000001</v>
      </c>
      <c r="O53">
        <v>112.639786</v>
      </c>
      <c r="P53">
        <v>116.265869</v>
      </c>
      <c r="Q53">
        <v>119.61837800000001</v>
      </c>
      <c r="R53">
        <v>123.399551</v>
      </c>
      <c r="S53">
        <v>127.457848</v>
      </c>
      <c r="T53">
        <v>131.21597299999999</v>
      </c>
      <c r="U53">
        <v>135.083923</v>
      </c>
      <c r="V53">
        <v>138.85072299999999</v>
      </c>
      <c r="W53">
        <v>142.69729599999999</v>
      </c>
      <c r="X53">
        <v>146.67823799999999</v>
      </c>
      <c r="Y53">
        <v>150.81691000000001</v>
      </c>
      <c r="Z53">
        <v>154.928268</v>
      </c>
      <c r="AA53">
        <v>159.09347500000001</v>
      </c>
      <c r="AB53">
        <v>163.57148699999999</v>
      </c>
      <c r="AC53">
        <v>167.987595</v>
      </c>
      <c r="AD53">
        <v>173.312363</v>
      </c>
      <c r="AE53">
        <v>178.174057</v>
      </c>
      <c r="AF53">
        <v>183.52430699999999</v>
      </c>
      <c r="AG53">
        <v>189.210342</v>
      </c>
      <c r="AH53">
        <v>194.299271</v>
      </c>
      <c r="AI53" s="122">
        <v>2.3E-2</v>
      </c>
    </row>
    <row r="54" spans="1:35" ht="15" customHeight="1" x14ac:dyDescent="0.25">
      <c r="A54" t="s">
        <v>718</v>
      </c>
      <c r="B54" t="s">
        <v>800</v>
      </c>
      <c r="C54" t="s">
        <v>801</v>
      </c>
      <c r="D54" t="s">
        <v>799</v>
      </c>
      <c r="F54">
        <v>95.875998999999993</v>
      </c>
      <c r="G54">
        <v>89.329002000000003</v>
      </c>
      <c r="H54">
        <v>97.249779000000004</v>
      </c>
      <c r="I54">
        <v>92.900146000000007</v>
      </c>
      <c r="J54">
        <v>94.905304000000001</v>
      </c>
      <c r="K54">
        <v>97.271384999999995</v>
      </c>
      <c r="L54">
        <v>100.22315999999999</v>
      </c>
      <c r="M54">
        <v>102.98326900000001</v>
      </c>
      <c r="N54">
        <v>105.828407</v>
      </c>
      <c r="O54">
        <v>108.94564099999999</v>
      </c>
      <c r="P54">
        <v>112.41229199999999</v>
      </c>
      <c r="Q54">
        <v>115.627411</v>
      </c>
      <c r="R54">
        <v>119.291077</v>
      </c>
      <c r="S54">
        <v>122.66132399999999</v>
      </c>
      <c r="T54">
        <v>126.59264400000001</v>
      </c>
      <c r="U54">
        <v>130.29289199999999</v>
      </c>
      <c r="V54">
        <v>133.71722399999999</v>
      </c>
      <c r="W54">
        <v>137.44975299999999</v>
      </c>
      <c r="X54">
        <v>141.151093</v>
      </c>
      <c r="Y54">
        <v>145.09960899999999</v>
      </c>
      <c r="Z54">
        <v>149.102936</v>
      </c>
      <c r="AA54">
        <v>153.158661</v>
      </c>
      <c r="AB54">
        <v>157.370575</v>
      </c>
      <c r="AC54">
        <v>161.615891</v>
      </c>
      <c r="AD54">
        <v>166.70979299999999</v>
      </c>
      <c r="AE54">
        <v>171.44435100000001</v>
      </c>
      <c r="AF54">
        <v>176.82122799999999</v>
      </c>
      <c r="AG54">
        <v>182.42593400000001</v>
      </c>
      <c r="AH54">
        <v>187.283264</v>
      </c>
      <c r="AI54" s="122">
        <v>2.4E-2</v>
      </c>
    </row>
    <row r="55" spans="1:35" ht="15" customHeight="1" x14ac:dyDescent="0.25">
      <c r="A55" t="s">
        <v>721</v>
      </c>
      <c r="B55" t="s">
        <v>802</v>
      </c>
      <c r="C55" t="s">
        <v>803</v>
      </c>
      <c r="D55" t="s">
        <v>799</v>
      </c>
      <c r="F55">
        <v>93.169998000000007</v>
      </c>
      <c r="G55">
        <v>86.620002999999997</v>
      </c>
      <c r="H55">
        <v>95.064835000000002</v>
      </c>
      <c r="I55">
        <v>91.230620999999999</v>
      </c>
      <c r="J55">
        <v>93.362235999999996</v>
      </c>
      <c r="K55">
        <v>95.906745999999998</v>
      </c>
      <c r="L55">
        <v>98.287398999999994</v>
      </c>
      <c r="M55">
        <v>101.109497</v>
      </c>
      <c r="N55">
        <v>103.969826</v>
      </c>
      <c r="O55">
        <v>106.68147999999999</v>
      </c>
      <c r="P55">
        <v>109.936981</v>
      </c>
      <c r="Q55">
        <v>113.10684999999999</v>
      </c>
      <c r="R55">
        <v>116.17791</v>
      </c>
      <c r="S55">
        <v>119.59766399999999</v>
      </c>
      <c r="T55">
        <v>123.633385</v>
      </c>
      <c r="U55">
        <v>126.946815</v>
      </c>
      <c r="V55">
        <v>130.566971</v>
      </c>
      <c r="W55">
        <v>134.157837</v>
      </c>
      <c r="X55">
        <v>138.17053200000001</v>
      </c>
      <c r="Y55">
        <v>142.142044</v>
      </c>
      <c r="Z55">
        <v>146.22706600000001</v>
      </c>
      <c r="AA55">
        <v>149.632217</v>
      </c>
      <c r="AB55">
        <v>153.53042600000001</v>
      </c>
      <c r="AC55">
        <v>157.63656599999999</v>
      </c>
      <c r="AD55">
        <v>162.51611299999999</v>
      </c>
      <c r="AE55">
        <v>167.21038799999999</v>
      </c>
      <c r="AF55">
        <v>172.20019500000001</v>
      </c>
      <c r="AG55">
        <v>177.44169600000001</v>
      </c>
      <c r="AH55">
        <v>182.600998</v>
      </c>
      <c r="AI55" s="122">
        <v>2.4E-2</v>
      </c>
    </row>
    <row r="56" spans="1:35" ht="15" customHeight="1" x14ac:dyDescent="0.25">
      <c r="A56" t="s">
        <v>727</v>
      </c>
    </row>
    <row r="57" spans="1:35" ht="15" customHeight="1" x14ac:dyDescent="0.25">
      <c r="A57" t="s">
        <v>804</v>
      </c>
    </row>
    <row r="58" spans="1:35" ht="15" customHeight="1" x14ac:dyDescent="0.25">
      <c r="A58" t="s">
        <v>728</v>
      </c>
    </row>
    <row r="59" spans="1:35" x14ac:dyDescent="0.25">
      <c r="A59" t="s">
        <v>729</v>
      </c>
      <c r="B59" t="s">
        <v>805</v>
      </c>
      <c r="C59" t="s">
        <v>806</v>
      </c>
      <c r="D59" t="s">
        <v>807</v>
      </c>
      <c r="F59">
        <v>2.6643159999999999</v>
      </c>
      <c r="G59">
        <v>2.981433</v>
      </c>
      <c r="H59">
        <v>3.0719810000000001</v>
      </c>
      <c r="I59">
        <v>3.0316689999999999</v>
      </c>
      <c r="J59">
        <v>2.984559</v>
      </c>
      <c r="K59">
        <v>2.9570479999999999</v>
      </c>
      <c r="L59">
        <v>2.9672689999999999</v>
      </c>
      <c r="M59">
        <v>3.0116710000000002</v>
      </c>
      <c r="N59">
        <v>3.0888520000000002</v>
      </c>
      <c r="O59">
        <v>3.1922429999999999</v>
      </c>
      <c r="P59">
        <v>3.3191579999999998</v>
      </c>
      <c r="Q59">
        <v>3.4677739999999999</v>
      </c>
      <c r="R59">
        <v>3.6225390000000002</v>
      </c>
      <c r="S59">
        <v>3.7661959999999999</v>
      </c>
      <c r="T59">
        <v>3.898145</v>
      </c>
      <c r="U59">
        <v>4.0267239999999997</v>
      </c>
      <c r="V59">
        <v>4.1701329999999999</v>
      </c>
      <c r="W59">
        <v>4.288951</v>
      </c>
      <c r="X59">
        <v>4.4297529999999998</v>
      </c>
      <c r="Y59">
        <v>4.5743679999999998</v>
      </c>
      <c r="Z59">
        <v>4.7107830000000002</v>
      </c>
      <c r="AA59">
        <v>4.8363589999999999</v>
      </c>
      <c r="AB59">
        <v>4.9529100000000001</v>
      </c>
      <c r="AC59">
        <v>5.0798389999999998</v>
      </c>
      <c r="AD59">
        <v>5.2342409999999999</v>
      </c>
      <c r="AE59">
        <v>5.3651910000000003</v>
      </c>
      <c r="AF59">
        <v>5.508089</v>
      </c>
      <c r="AG59">
        <v>5.6454950000000004</v>
      </c>
      <c r="AH59">
        <v>5.7798499999999997</v>
      </c>
      <c r="AI59" s="122">
        <v>2.8000000000000001E-2</v>
      </c>
    </row>
    <row r="60" spans="1:35" ht="15" customHeight="1" x14ac:dyDescent="0.25">
      <c r="A60" t="s">
        <v>733</v>
      </c>
      <c r="B60" t="s">
        <v>808</v>
      </c>
      <c r="C60" t="s">
        <v>809</v>
      </c>
      <c r="D60" t="s">
        <v>807</v>
      </c>
      <c r="F60">
        <v>4.8463640000000003</v>
      </c>
      <c r="G60">
        <v>4.7006420000000002</v>
      </c>
      <c r="H60">
        <v>4.6379440000000001</v>
      </c>
      <c r="I60">
        <v>4.4925509999999997</v>
      </c>
      <c r="J60">
        <v>4.517563</v>
      </c>
      <c r="K60">
        <v>4.5456979999999998</v>
      </c>
      <c r="L60">
        <v>4.5984509999999998</v>
      </c>
      <c r="M60">
        <v>4.7136329999999997</v>
      </c>
      <c r="N60">
        <v>4.8200719999999997</v>
      </c>
      <c r="O60">
        <v>4.9606199999999996</v>
      </c>
      <c r="P60">
        <v>5.0894560000000002</v>
      </c>
      <c r="Q60">
        <v>5.2308349999999999</v>
      </c>
      <c r="R60">
        <v>5.3643479999999997</v>
      </c>
      <c r="S60">
        <v>5.5225780000000002</v>
      </c>
      <c r="T60">
        <v>5.6528169999999998</v>
      </c>
      <c r="U60">
        <v>5.8032110000000001</v>
      </c>
      <c r="V60">
        <v>5.9492019999999997</v>
      </c>
      <c r="W60">
        <v>6.088381</v>
      </c>
      <c r="X60">
        <v>6.2339510000000002</v>
      </c>
      <c r="Y60">
        <v>6.4071639999999999</v>
      </c>
      <c r="Z60">
        <v>6.550408</v>
      </c>
      <c r="AA60">
        <v>6.7259460000000004</v>
      </c>
      <c r="AB60">
        <v>6.8595860000000002</v>
      </c>
      <c r="AC60">
        <v>7.0297369999999999</v>
      </c>
      <c r="AD60">
        <v>7.2457580000000004</v>
      </c>
      <c r="AE60">
        <v>7.4242460000000001</v>
      </c>
      <c r="AF60">
        <v>7.610385</v>
      </c>
      <c r="AG60">
        <v>7.8099790000000002</v>
      </c>
      <c r="AH60">
        <v>7.9983240000000002</v>
      </c>
      <c r="AI60" s="122">
        <v>1.7999999999999999E-2</v>
      </c>
    </row>
    <row r="61" spans="1:35" ht="15" customHeight="1" x14ac:dyDescent="0.25">
      <c r="A61" t="s">
        <v>736</v>
      </c>
    </row>
    <row r="62" spans="1:35" ht="15" customHeight="1" x14ac:dyDescent="0.25">
      <c r="A62" t="s">
        <v>733</v>
      </c>
      <c r="B62" t="s">
        <v>810</v>
      </c>
      <c r="C62" t="s">
        <v>811</v>
      </c>
      <c r="D62" t="s">
        <v>807</v>
      </c>
      <c r="F62">
        <v>4.8492800000000003</v>
      </c>
      <c r="G62">
        <v>4.7229029999999996</v>
      </c>
      <c r="H62">
        <v>4.4913829999999999</v>
      </c>
      <c r="I62">
        <v>4.1691950000000002</v>
      </c>
      <c r="J62">
        <v>4.0071570000000003</v>
      </c>
      <c r="K62">
        <v>3.843928</v>
      </c>
      <c r="L62">
        <v>3.6954199999999999</v>
      </c>
      <c r="M62">
        <v>3.7900109999999998</v>
      </c>
      <c r="N62">
        <v>3.874908</v>
      </c>
      <c r="O62">
        <v>3.9919630000000002</v>
      </c>
      <c r="P62">
        <v>4.0997870000000001</v>
      </c>
      <c r="Q62">
        <v>4.2156479999999998</v>
      </c>
      <c r="R62">
        <v>4.3265339999999997</v>
      </c>
      <c r="S62">
        <v>4.4564370000000002</v>
      </c>
      <c r="T62">
        <v>4.5641170000000004</v>
      </c>
      <c r="U62">
        <v>4.6884170000000003</v>
      </c>
      <c r="V62">
        <v>4.8086979999999997</v>
      </c>
      <c r="W62">
        <v>4.9227460000000001</v>
      </c>
      <c r="X62">
        <v>5.0423559999999998</v>
      </c>
      <c r="Y62">
        <v>5.1885260000000004</v>
      </c>
      <c r="Z62">
        <v>5.3042319999999998</v>
      </c>
      <c r="AA62">
        <v>5.4514189999999996</v>
      </c>
      <c r="AB62">
        <v>5.556578</v>
      </c>
      <c r="AC62">
        <v>5.7024179999999998</v>
      </c>
      <c r="AD62">
        <v>5.961805</v>
      </c>
      <c r="AE62">
        <v>6.1068449999999999</v>
      </c>
      <c r="AF62">
        <v>6.2612870000000003</v>
      </c>
      <c r="AG62">
        <v>6.429735</v>
      </c>
      <c r="AH62">
        <v>6.5852060000000003</v>
      </c>
      <c r="AI62" s="122">
        <v>1.0999999999999999E-2</v>
      </c>
    </row>
    <row r="63" spans="1:35" ht="15" customHeight="1" x14ac:dyDescent="0.25">
      <c r="A63" t="s">
        <v>739</v>
      </c>
      <c r="B63" t="s">
        <v>812</v>
      </c>
      <c r="C63" t="s">
        <v>813</v>
      </c>
      <c r="D63" t="s">
        <v>807</v>
      </c>
      <c r="F63">
        <v>1.8904399999999999</v>
      </c>
      <c r="G63">
        <v>1.225994</v>
      </c>
      <c r="H63">
        <v>1.5065109999999999</v>
      </c>
      <c r="I63">
        <v>1.588854</v>
      </c>
      <c r="J63">
        <v>1.855299</v>
      </c>
      <c r="K63">
        <v>2.1338080000000001</v>
      </c>
      <c r="L63">
        <v>2.4391620000000001</v>
      </c>
      <c r="M63">
        <v>2.506437</v>
      </c>
      <c r="N63">
        <v>2.577671</v>
      </c>
      <c r="O63">
        <v>2.6566450000000001</v>
      </c>
      <c r="P63">
        <v>2.7361759999999999</v>
      </c>
      <c r="Q63">
        <v>2.818438</v>
      </c>
      <c r="R63">
        <v>2.9058980000000001</v>
      </c>
      <c r="S63">
        <v>2.9967760000000001</v>
      </c>
      <c r="T63">
        <v>3.0844299999999998</v>
      </c>
      <c r="U63">
        <v>3.174131</v>
      </c>
      <c r="V63">
        <v>3.2672889999999999</v>
      </c>
      <c r="W63">
        <v>3.3539669999999999</v>
      </c>
      <c r="X63">
        <v>3.4480279999999999</v>
      </c>
      <c r="Y63">
        <v>3.5548630000000001</v>
      </c>
      <c r="Z63">
        <v>3.6384340000000002</v>
      </c>
      <c r="AA63">
        <v>3.7387009999999998</v>
      </c>
      <c r="AB63">
        <v>3.8323499999999999</v>
      </c>
      <c r="AC63">
        <v>3.9360819999999999</v>
      </c>
      <c r="AD63">
        <v>4.0711680000000001</v>
      </c>
      <c r="AE63">
        <v>4.1676789999999997</v>
      </c>
      <c r="AF63">
        <v>4.3005449999999996</v>
      </c>
      <c r="AG63">
        <v>4.428941</v>
      </c>
      <c r="AH63">
        <v>4.5555669999999999</v>
      </c>
      <c r="AI63" s="122">
        <v>3.2000000000000001E-2</v>
      </c>
    </row>
    <row r="64" spans="1:35" ht="15" customHeight="1" x14ac:dyDescent="0.25">
      <c r="A64" t="s">
        <v>744</v>
      </c>
    </row>
    <row r="65" spans="1:35" ht="15" customHeight="1" x14ac:dyDescent="0.25">
      <c r="A65" t="s">
        <v>729</v>
      </c>
      <c r="B65" t="s">
        <v>814</v>
      </c>
      <c r="C65" t="s">
        <v>815</v>
      </c>
      <c r="D65" t="s">
        <v>807</v>
      </c>
      <c r="F65">
        <v>2.1431879999999999</v>
      </c>
      <c r="G65">
        <v>2.0445669999999998</v>
      </c>
      <c r="H65">
        <v>1.8736390000000001</v>
      </c>
      <c r="I65">
        <v>1.694936</v>
      </c>
      <c r="J65">
        <v>1.622004</v>
      </c>
      <c r="K65">
        <v>1.5983339999999999</v>
      </c>
      <c r="L65">
        <v>1.622452</v>
      </c>
      <c r="M65">
        <v>1.672312</v>
      </c>
      <c r="N65">
        <v>1.74587</v>
      </c>
      <c r="O65">
        <v>1.8335589999999999</v>
      </c>
      <c r="P65">
        <v>1.9375979999999999</v>
      </c>
      <c r="Q65">
        <v>2.054389</v>
      </c>
      <c r="R65">
        <v>2.1633520000000002</v>
      </c>
      <c r="S65">
        <v>2.2495449999999999</v>
      </c>
      <c r="T65">
        <v>2.3234319999999999</v>
      </c>
      <c r="U65">
        <v>2.4023780000000001</v>
      </c>
      <c r="V65">
        <v>2.5084849999999999</v>
      </c>
      <c r="W65">
        <v>2.5638640000000001</v>
      </c>
      <c r="X65">
        <v>2.6684429999999999</v>
      </c>
      <c r="Y65">
        <v>2.7663479999999998</v>
      </c>
      <c r="Z65">
        <v>2.8451960000000001</v>
      </c>
      <c r="AA65">
        <v>2.909697</v>
      </c>
      <c r="AB65">
        <v>2.9676619999999998</v>
      </c>
      <c r="AC65">
        <v>3.0464479999999998</v>
      </c>
      <c r="AD65">
        <v>3.1173030000000002</v>
      </c>
      <c r="AE65">
        <v>3.1981480000000002</v>
      </c>
      <c r="AF65">
        <v>3.2928540000000002</v>
      </c>
      <c r="AG65">
        <v>3.3693140000000001</v>
      </c>
      <c r="AH65">
        <v>3.4419369999999998</v>
      </c>
      <c r="AI65" s="122">
        <v>1.7000000000000001E-2</v>
      </c>
    </row>
    <row r="66" spans="1:35" ht="15" customHeight="1" x14ac:dyDescent="0.25">
      <c r="A66" t="s">
        <v>733</v>
      </c>
      <c r="B66" t="s">
        <v>816</v>
      </c>
      <c r="C66" t="s">
        <v>817</v>
      </c>
      <c r="D66" t="s">
        <v>807</v>
      </c>
      <c r="F66">
        <v>4.838775</v>
      </c>
      <c r="G66">
        <v>4.6976259999999996</v>
      </c>
      <c r="H66">
        <v>4.4710539999999996</v>
      </c>
      <c r="I66">
        <v>4.142582</v>
      </c>
      <c r="J66">
        <v>3.9738169999999999</v>
      </c>
      <c r="K66">
        <v>3.8045990000000001</v>
      </c>
      <c r="L66">
        <v>3.6494239999999998</v>
      </c>
      <c r="M66">
        <v>3.74519</v>
      </c>
      <c r="N66">
        <v>3.829869</v>
      </c>
      <c r="O66">
        <v>3.946475</v>
      </c>
      <c r="P66">
        <v>4.0549039999999996</v>
      </c>
      <c r="Q66">
        <v>4.1726979999999996</v>
      </c>
      <c r="R66">
        <v>4.2828749999999998</v>
      </c>
      <c r="S66">
        <v>4.4152740000000001</v>
      </c>
      <c r="T66">
        <v>4.5222160000000002</v>
      </c>
      <c r="U66">
        <v>4.6479280000000003</v>
      </c>
      <c r="V66">
        <v>4.7687229999999996</v>
      </c>
      <c r="W66">
        <v>4.8833960000000003</v>
      </c>
      <c r="X66">
        <v>5.0037830000000003</v>
      </c>
      <c r="Y66">
        <v>5.1511750000000003</v>
      </c>
      <c r="Z66">
        <v>5.2676759999999998</v>
      </c>
      <c r="AA66">
        <v>5.4163610000000002</v>
      </c>
      <c r="AB66">
        <v>5.5229699999999999</v>
      </c>
      <c r="AC66">
        <v>5.664974</v>
      </c>
      <c r="AD66">
        <v>5.8525840000000002</v>
      </c>
      <c r="AE66">
        <v>5.9976209999999996</v>
      </c>
      <c r="AF66">
        <v>6.1516510000000002</v>
      </c>
      <c r="AG66">
        <v>6.3192240000000002</v>
      </c>
      <c r="AH66">
        <v>6.4736200000000004</v>
      </c>
      <c r="AI66" s="122">
        <v>0.01</v>
      </c>
    </row>
    <row r="67" spans="1:35" ht="15" customHeight="1" x14ac:dyDescent="0.25">
      <c r="A67" t="s">
        <v>739</v>
      </c>
      <c r="B67" t="s">
        <v>818</v>
      </c>
      <c r="C67" t="s">
        <v>819</v>
      </c>
      <c r="D67" t="s">
        <v>807</v>
      </c>
      <c r="F67">
        <v>1.9976419999999999</v>
      </c>
      <c r="G67">
        <v>1.3243659999999999</v>
      </c>
      <c r="H67">
        <v>1.6237299999999999</v>
      </c>
      <c r="I67">
        <v>1.7516430000000001</v>
      </c>
      <c r="J67">
        <v>2.0460690000000001</v>
      </c>
      <c r="K67">
        <v>2.3702610000000002</v>
      </c>
      <c r="L67">
        <v>2.7026629999999998</v>
      </c>
      <c r="M67">
        <v>2.7768000000000002</v>
      </c>
      <c r="N67">
        <v>2.8577370000000002</v>
      </c>
      <c r="O67">
        <v>2.9458009999999999</v>
      </c>
      <c r="P67">
        <v>3.0361829999999999</v>
      </c>
      <c r="Q67">
        <v>3.1303339999999999</v>
      </c>
      <c r="R67">
        <v>3.2293630000000002</v>
      </c>
      <c r="S67">
        <v>3.3314560000000002</v>
      </c>
      <c r="T67">
        <v>3.4287570000000001</v>
      </c>
      <c r="U67">
        <v>3.527644</v>
      </c>
      <c r="V67">
        <v>3.6318980000000001</v>
      </c>
      <c r="W67">
        <v>3.7287340000000002</v>
      </c>
      <c r="X67">
        <v>3.8345370000000001</v>
      </c>
      <c r="Y67">
        <v>3.9524759999999999</v>
      </c>
      <c r="Z67">
        <v>4.0467639999999996</v>
      </c>
      <c r="AA67">
        <v>4.1574660000000003</v>
      </c>
      <c r="AB67">
        <v>4.251042</v>
      </c>
      <c r="AC67">
        <v>4.3655359999999996</v>
      </c>
      <c r="AD67">
        <v>4.5142870000000004</v>
      </c>
      <c r="AE67">
        <v>4.6228239999999996</v>
      </c>
      <c r="AF67">
        <v>4.7649359999999996</v>
      </c>
      <c r="AG67">
        <v>4.9033680000000004</v>
      </c>
      <c r="AH67">
        <v>5.0427900000000001</v>
      </c>
      <c r="AI67" s="122">
        <v>3.4000000000000002E-2</v>
      </c>
    </row>
    <row r="68" spans="1:35" ht="15" customHeight="1" x14ac:dyDescent="0.25">
      <c r="A68" t="s">
        <v>752</v>
      </c>
    </row>
    <row r="69" spans="1:35" ht="15" customHeight="1" x14ac:dyDescent="0.25">
      <c r="A69" t="s">
        <v>729</v>
      </c>
      <c r="B69" t="s">
        <v>820</v>
      </c>
      <c r="C69" t="s">
        <v>821</v>
      </c>
      <c r="D69" t="s">
        <v>807</v>
      </c>
      <c r="F69">
        <v>2.3479260000000002</v>
      </c>
      <c r="G69">
        <v>2.2978429999999999</v>
      </c>
      <c r="H69">
        <v>2.192304</v>
      </c>
      <c r="I69">
        <v>2.07491</v>
      </c>
      <c r="J69">
        <v>2.0359720000000001</v>
      </c>
      <c r="K69">
        <v>2.0345110000000002</v>
      </c>
      <c r="L69">
        <v>2.0710459999999999</v>
      </c>
      <c r="M69">
        <v>2.1284190000000001</v>
      </c>
      <c r="N69">
        <v>2.2051470000000002</v>
      </c>
      <c r="O69">
        <v>2.293412</v>
      </c>
      <c r="P69">
        <v>2.3944860000000001</v>
      </c>
      <c r="Q69">
        <v>2.5058250000000002</v>
      </c>
      <c r="R69">
        <v>2.6110389999999999</v>
      </c>
      <c r="S69">
        <v>2.6985199999999998</v>
      </c>
      <c r="T69">
        <v>2.7769430000000002</v>
      </c>
      <c r="U69">
        <v>2.8592119999999999</v>
      </c>
      <c r="V69">
        <v>2.9621780000000002</v>
      </c>
      <c r="W69">
        <v>3.0266999999999999</v>
      </c>
      <c r="X69">
        <v>3.1297570000000001</v>
      </c>
      <c r="Y69">
        <v>3.22777</v>
      </c>
      <c r="Z69">
        <v>3.3122950000000002</v>
      </c>
      <c r="AA69">
        <v>3.387416</v>
      </c>
      <c r="AB69">
        <v>3.4587780000000001</v>
      </c>
      <c r="AC69">
        <v>3.5487389999999999</v>
      </c>
      <c r="AD69">
        <v>3.6722700000000001</v>
      </c>
      <c r="AE69">
        <v>3.7648239999999999</v>
      </c>
      <c r="AF69">
        <v>3.8686560000000001</v>
      </c>
      <c r="AG69">
        <v>3.959622</v>
      </c>
      <c r="AH69">
        <v>4.0490159999999999</v>
      </c>
      <c r="AI69" s="122">
        <v>0.02</v>
      </c>
    </row>
    <row r="70" spans="1:35" ht="15" customHeight="1" x14ac:dyDescent="0.25">
      <c r="A70" t="s">
        <v>755</v>
      </c>
      <c r="B70" t="s">
        <v>822</v>
      </c>
      <c r="C70" t="s">
        <v>823</v>
      </c>
      <c r="D70" t="s">
        <v>807</v>
      </c>
      <c r="F70">
        <v>3.6287739999999999</v>
      </c>
      <c r="G70">
        <v>3.3418939999999999</v>
      </c>
      <c r="H70">
        <v>3.2885059999999999</v>
      </c>
      <c r="I70">
        <v>3.1362009999999998</v>
      </c>
      <c r="J70">
        <v>3.172698</v>
      </c>
      <c r="K70">
        <v>3.2237529999999999</v>
      </c>
      <c r="L70">
        <v>3.2977050000000001</v>
      </c>
      <c r="M70">
        <v>3.3786689999999999</v>
      </c>
      <c r="N70">
        <v>3.4697420000000001</v>
      </c>
      <c r="O70">
        <v>3.5464349999999998</v>
      </c>
      <c r="P70">
        <v>3.6509740000000002</v>
      </c>
      <c r="Q70">
        <v>3.7502279999999999</v>
      </c>
      <c r="R70">
        <v>3.8574649999999999</v>
      </c>
      <c r="S70">
        <v>3.9601790000000001</v>
      </c>
      <c r="T70">
        <v>4.0994570000000001</v>
      </c>
      <c r="U70">
        <v>4.200761</v>
      </c>
      <c r="V70">
        <v>4.3103759999999998</v>
      </c>
      <c r="W70">
        <v>4.4271719999999997</v>
      </c>
      <c r="X70">
        <v>4.5346650000000004</v>
      </c>
      <c r="Y70">
        <v>4.6389060000000004</v>
      </c>
      <c r="Z70">
        <v>4.7587020000000004</v>
      </c>
      <c r="AA70">
        <v>4.8500240000000003</v>
      </c>
      <c r="AB70">
        <v>4.9965770000000003</v>
      </c>
      <c r="AC70">
        <v>5.1171829999999998</v>
      </c>
      <c r="AD70">
        <v>5.3773540000000004</v>
      </c>
      <c r="AE70">
        <v>5.5067050000000002</v>
      </c>
      <c r="AF70">
        <v>5.687824</v>
      </c>
      <c r="AG70">
        <v>5.842123</v>
      </c>
      <c r="AH70">
        <v>6.0391769999999996</v>
      </c>
      <c r="AI70" s="122">
        <v>1.7999999999999999E-2</v>
      </c>
    </row>
    <row r="71" spans="1:35" ht="15" customHeight="1" x14ac:dyDescent="0.25">
      <c r="A71" t="s">
        <v>758</v>
      </c>
      <c r="B71" t="s">
        <v>824</v>
      </c>
      <c r="C71" t="s">
        <v>825</v>
      </c>
      <c r="D71" t="s">
        <v>807</v>
      </c>
      <c r="F71">
        <v>1.5593049999999999</v>
      </c>
      <c r="G71">
        <v>1.623764</v>
      </c>
      <c r="H71">
        <v>1.6876059999999999</v>
      </c>
      <c r="I71">
        <v>1.607904</v>
      </c>
      <c r="J71">
        <v>1.638787</v>
      </c>
      <c r="K71">
        <v>1.6695469999999999</v>
      </c>
      <c r="L71">
        <v>1.7039519999999999</v>
      </c>
      <c r="M71">
        <v>1.739018</v>
      </c>
      <c r="N71">
        <v>1.7822899999999999</v>
      </c>
      <c r="O71">
        <v>1.821556</v>
      </c>
      <c r="P71">
        <v>1.858684</v>
      </c>
      <c r="Q71">
        <v>1.8475980000000001</v>
      </c>
      <c r="R71">
        <v>1.9115660000000001</v>
      </c>
      <c r="S71">
        <v>1.9198770000000001</v>
      </c>
      <c r="T71">
        <v>1.9933909999999999</v>
      </c>
      <c r="U71">
        <v>2.019784</v>
      </c>
      <c r="V71">
        <v>2.0396719999999999</v>
      </c>
      <c r="W71">
        <v>2.061582</v>
      </c>
      <c r="X71">
        <v>2.105588</v>
      </c>
      <c r="Y71">
        <v>2.1368179999999999</v>
      </c>
      <c r="Z71">
        <v>2.1806869999999998</v>
      </c>
      <c r="AA71">
        <v>2.230985</v>
      </c>
      <c r="AB71">
        <v>2.375915</v>
      </c>
      <c r="AC71">
        <v>2.460896</v>
      </c>
      <c r="AD71">
        <v>2.608295</v>
      </c>
      <c r="AE71">
        <v>2.639065</v>
      </c>
      <c r="AF71">
        <v>2.6929650000000001</v>
      </c>
      <c r="AG71">
        <v>2.8228460000000002</v>
      </c>
      <c r="AH71">
        <v>3.3062849999999999</v>
      </c>
      <c r="AI71" s="122">
        <v>2.7E-2</v>
      </c>
    </row>
    <row r="72" spans="1:35" ht="15" customHeight="1" x14ac:dyDescent="0.25">
      <c r="A72" t="s">
        <v>761</v>
      </c>
      <c r="B72" t="s">
        <v>826</v>
      </c>
      <c r="C72" t="s">
        <v>827</v>
      </c>
      <c r="D72" t="s">
        <v>807</v>
      </c>
      <c r="F72">
        <v>4.1839969999999997</v>
      </c>
      <c r="G72">
        <v>3.8193779999999999</v>
      </c>
      <c r="H72">
        <v>3.546643</v>
      </c>
      <c r="I72">
        <v>3.3818709999999998</v>
      </c>
      <c r="J72">
        <v>3.4165350000000001</v>
      </c>
      <c r="K72">
        <v>3.468658</v>
      </c>
      <c r="L72">
        <v>3.5444469999999999</v>
      </c>
      <c r="M72">
        <v>3.627688</v>
      </c>
      <c r="N72">
        <v>3.7206999999999999</v>
      </c>
      <c r="O72">
        <v>3.7995350000000001</v>
      </c>
      <c r="P72">
        <v>3.906202</v>
      </c>
      <c r="Q72">
        <v>4.0075830000000003</v>
      </c>
      <c r="R72">
        <v>4.1168290000000001</v>
      </c>
      <c r="S72">
        <v>4.2216589999999998</v>
      </c>
      <c r="T72">
        <v>4.3647850000000004</v>
      </c>
      <c r="U72">
        <v>4.4682969999999997</v>
      </c>
      <c r="V72">
        <v>4.5803690000000001</v>
      </c>
      <c r="W72">
        <v>4.7007490000000001</v>
      </c>
      <c r="X72">
        <v>4.8112940000000002</v>
      </c>
      <c r="Y72">
        <v>4.9186759999999996</v>
      </c>
      <c r="Z72">
        <v>5.0421829999999996</v>
      </c>
      <c r="AA72">
        <v>5.1363669999999999</v>
      </c>
      <c r="AB72">
        <v>5.2888909999999996</v>
      </c>
      <c r="AC72">
        <v>5.413583</v>
      </c>
      <c r="AD72">
        <v>5.6947390000000002</v>
      </c>
      <c r="AE72">
        <v>5.8288130000000002</v>
      </c>
      <c r="AF72">
        <v>6.0164059999999999</v>
      </c>
      <c r="AG72">
        <v>6.1760349999999997</v>
      </c>
      <c r="AH72">
        <v>6.379766</v>
      </c>
      <c r="AI72" s="122">
        <v>1.4999999999999999E-2</v>
      </c>
    </row>
    <row r="73" spans="1:35" ht="15" customHeight="1" x14ac:dyDescent="0.25">
      <c r="A73" t="s">
        <v>764</v>
      </c>
      <c r="B73" t="s">
        <v>828</v>
      </c>
      <c r="C73" t="s">
        <v>829</v>
      </c>
      <c r="D73" t="s">
        <v>807</v>
      </c>
      <c r="F73">
        <v>3.6098750000000002</v>
      </c>
      <c r="G73">
        <v>3.172596</v>
      </c>
      <c r="H73">
        <v>3.1190829999999998</v>
      </c>
      <c r="I73">
        <v>2.9687239999999999</v>
      </c>
      <c r="J73">
        <v>2.997598</v>
      </c>
      <c r="K73">
        <v>3.0266190000000002</v>
      </c>
      <c r="L73">
        <v>3.077226</v>
      </c>
      <c r="M73">
        <v>3.162884</v>
      </c>
      <c r="N73">
        <v>3.2370730000000001</v>
      </c>
      <c r="O73">
        <v>3.3475990000000002</v>
      </c>
      <c r="P73">
        <v>3.4516439999999999</v>
      </c>
      <c r="Q73">
        <v>3.548645</v>
      </c>
      <c r="R73">
        <v>3.6605509999999999</v>
      </c>
      <c r="S73">
        <v>3.7747000000000002</v>
      </c>
      <c r="T73">
        <v>3.8803079999999999</v>
      </c>
      <c r="U73">
        <v>3.9910169999999998</v>
      </c>
      <c r="V73">
        <v>4.1034490000000003</v>
      </c>
      <c r="W73">
        <v>4.2131869999999996</v>
      </c>
      <c r="X73">
        <v>4.3319739999999998</v>
      </c>
      <c r="Y73">
        <v>4.472531</v>
      </c>
      <c r="Z73">
        <v>4.5840180000000004</v>
      </c>
      <c r="AA73">
        <v>4.7251000000000003</v>
      </c>
      <c r="AB73">
        <v>4.8252199999999998</v>
      </c>
      <c r="AC73">
        <v>4.9734860000000003</v>
      </c>
      <c r="AD73">
        <v>5.1665530000000004</v>
      </c>
      <c r="AE73">
        <v>5.3003859999999996</v>
      </c>
      <c r="AF73">
        <v>5.4424099999999997</v>
      </c>
      <c r="AG73">
        <v>5.5983910000000003</v>
      </c>
      <c r="AH73">
        <v>5.7410059999999996</v>
      </c>
      <c r="AI73" s="122">
        <v>1.7000000000000001E-2</v>
      </c>
    </row>
    <row r="74" spans="1:35" ht="15" customHeight="1" x14ac:dyDescent="0.25">
      <c r="A74" t="s">
        <v>767</v>
      </c>
      <c r="B74" t="s">
        <v>830</v>
      </c>
      <c r="C74" t="s">
        <v>831</v>
      </c>
      <c r="D74" t="s">
        <v>807</v>
      </c>
      <c r="F74">
        <v>5.1050589999999998</v>
      </c>
      <c r="G74">
        <v>4.7051970000000001</v>
      </c>
      <c r="H74">
        <v>4.5727950000000002</v>
      </c>
      <c r="I74">
        <v>4.3560030000000003</v>
      </c>
      <c r="J74">
        <v>4.307353</v>
      </c>
      <c r="K74">
        <v>4.2544740000000001</v>
      </c>
      <c r="L74">
        <v>4.2226990000000004</v>
      </c>
      <c r="M74">
        <v>4.3309350000000002</v>
      </c>
      <c r="N74">
        <v>4.4317349999999998</v>
      </c>
      <c r="O74">
        <v>4.5599129999999999</v>
      </c>
      <c r="P74">
        <v>4.6863489999999999</v>
      </c>
      <c r="Q74">
        <v>4.8186739999999997</v>
      </c>
      <c r="R74">
        <v>4.9426779999999999</v>
      </c>
      <c r="S74">
        <v>5.0972239999999998</v>
      </c>
      <c r="T74">
        <v>5.2157650000000002</v>
      </c>
      <c r="U74">
        <v>5.3596719999999998</v>
      </c>
      <c r="V74">
        <v>5.498405</v>
      </c>
      <c r="W74">
        <v>5.6279339999999998</v>
      </c>
      <c r="X74">
        <v>5.763433</v>
      </c>
      <c r="Y74">
        <v>5.9291510000000001</v>
      </c>
      <c r="Z74">
        <v>6.0653629999999996</v>
      </c>
      <c r="AA74">
        <v>6.2312279999999998</v>
      </c>
      <c r="AB74">
        <v>6.3535009999999996</v>
      </c>
      <c r="AC74">
        <v>6.5146280000000001</v>
      </c>
      <c r="AD74">
        <v>6.8089240000000002</v>
      </c>
      <c r="AE74">
        <v>6.9768819999999998</v>
      </c>
      <c r="AF74">
        <v>7.1562799999999998</v>
      </c>
      <c r="AG74">
        <v>7.3444190000000003</v>
      </c>
      <c r="AH74">
        <v>7.523714</v>
      </c>
      <c r="AI74" s="122">
        <v>1.4E-2</v>
      </c>
    </row>
    <row r="75" spans="1:35" ht="15" customHeight="1" x14ac:dyDescent="0.25">
      <c r="A75" t="s">
        <v>739</v>
      </c>
      <c r="B75" t="s">
        <v>832</v>
      </c>
      <c r="C75" t="s">
        <v>833</v>
      </c>
      <c r="D75" t="s">
        <v>807</v>
      </c>
      <c r="F75">
        <v>2.3040080000000001</v>
      </c>
      <c r="G75">
        <v>2.4242119999999998</v>
      </c>
      <c r="H75">
        <v>2.7626430000000002</v>
      </c>
      <c r="I75">
        <v>2.6772990000000001</v>
      </c>
      <c r="J75">
        <v>2.7374160000000001</v>
      </c>
      <c r="K75">
        <v>2.8093249999999999</v>
      </c>
      <c r="L75">
        <v>2.8756930000000001</v>
      </c>
      <c r="M75">
        <v>2.9527760000000001</v>
      </c>
      <c r="N75">
        <v>3.03688</v>
      </c>
      <c r="O75">
        <v>3.12079</v>
      </c>
      <c r="P75">
        <v>3.2109960000000002</v>
      </c>
      <c r="Q75">
        <v>3.305326</v>
      </c>
      <c r="R75">
        <v>3.4030550000000002</v>
      </c>
      <c r="S75">
        <v>3.5061779999999998</v>
      </c>
      <c r="T75">
        <v>3.5990009999999999</v>
      </c>
      <c r="U75">
        <v>3.6988560000000001</v>
      </c>
      <c r="V75">
        <v>3.802257</v>
      </c>
      <c r="W75">
        <v>3.9018009999999999</v>
      </c>
      <c r="X75">
        <v>4.0036959999999997</v>
      </c>
      <c r="Y75">
        <v>4.1188750000000001</v>
      </c>
      <c r="Z75">
        <v>4.2181240000000004</v>
      </c>
      <c r="AA75">
        <v>4.3336579999999998</v>
      </c>
      <c r="AB75">
        <v>4.4330369999999997</v>
      </c>
      <c r="AC75">
        <v>4.5477910000000001</v>
      </c>
      <c r="AD75">
        <v>4.7024039999999996</v>
      </c>
      <c r="AE75">
        <v>4.813231</v>
      </c>
      <c r="AF75">
        <v>4.9569080000000003</v>
      </c>
      <c r="AG75">
        <v>5.1001190000000003</v>
      </c>
      <c r="AH75">
        <v>5.2490309999999996</v>
      </c>
      <c r="AI75" s="122">
        <v>0.03</v>
      </c>
    </row>
    <row r="76" spans="1:35" ht="15" customHeight="1" x14ac:dyDescent="0.25">
      <c r="A76" t="s">
        <v>773</v>
      </c>
    </row>
    <row r="77" spans="1:35" ht="15" customHeight="1" x14ac:dyDescent="0.25">
      <c r="A77" t="s">
        <v>733</v>
      </c>
      <c r="B77" t="s">
        <v>834</v>
      </c>
      <c r="C77" t="s">
        <v>835</v>
      </c>
      <c r="D77" t="s">
        <v>807</v>
      </c>
      <c r="F77">
        <v>4.8486900000000004</v>
      </c>
      <c r="G77">
        <v>4.7125170000000001</v>
      </c>
      <c r="H77">
        <v>4.5060890000000002</v>
      </c>
      <c r="I77">
        <v>4.1785100000000002</v>
      </c>
      <c r="J77">
        <v>4.0211920000000001</v>
      </c>
      <c r="K77">
        <v>3.8559369999999999</v>
      </c>
      <c r="L77">
        <v>3.6951999999999998</v>
      </c>
      <c r="M77">
        <v>3.8057099999999999</v>
      </c>
      <c r="N77">
        <v>3.913843</v>
      </c>
      <c r="O77">
        <v>4.0013069999999997</v>
      </c>
      <c r="P77">
        <v>4.112838</v>
      </c>
      <c r="Q77">
        <v>4.2087240000000001</v>
      </c>
      <c r="R77">
        <v>4.334708</v>
      </c>
      <c r="S77">
        <v>4.4542960000000003</v>
      </c>
      <c r="T77">
        <v>4.5704219999999998</v>
      </c>
      <c r="U77">
        <v>4.6825489999999999</v>
      </c>
      <c r="V77">
        <v>4.7940139999999998</v>
      </c>
      <c r="W77">
        <v>4.9146489999999998</v>
      </c>
      <c r="X77">
        <v>5.0437430000000001</v>
      </c>
      <c r="Y77">
        <v>5.1907430000000003</v>
      </c>
      <c r="Z77">
        <v>5.3062509999999996</v>
      </c>
      <c r="AA77">
        <v>5.4530269999999996</v>
      </c>
      <c r="AB77">
        <v>5.5656299999999996</v>
      </c>
      <c r="AC77">
        <v>5.7222910000000002</v>
      </c>
      <c r="AD77">
        <v>5.9147970000000001</v>
      </c>
      <c r="AE77">
        <v>6.0645439999999997</v>
      </c>
      <c r="AF77">
        <v>6.2222289999999996</v>
      </c>
      <c r="AG77">
        <v>6.4023979999999998</v>
      </c>
      <c r="AH77">
        <v>6.5586120000000001</v>
      </c>
      <c r="AI77" s="122">
        <v>1.0999999999999999E-2</v>
      </c>
    </row>
    <row r="78" spans="1:35" ht="15" customHeight="1" x14ac:dyDescent="0.25">
      <c r="A78" t="s">
        <v>739</v>
      </c>
      <c r="B78" t="s">
        <v>836</v>
      </c>
      <c r="C78" t="s">
        <v>837</v>
      </c>
      <c r="D78" t="s">
        <v>807</v>
      </c>
      <c r="F78">
        <v>3.2552680000000001</v>
      </c>
      <c r="G78">
        <v>2.8967809999999998</v>
      </c>
      <c r="H78">
        <v>2.944197</v>
      </c>
      <c r="I78">
        <v>2.843261</v>
      </c>
      <c r="J78">
        <v>2.8987919999999998</v>
      </c>
      <c r="K78">
        <v>2.9707330000000001</v>
      </c>
      <c r="L78">
        <v>3.0339779999999998</v>
      </c>
      <c r="M78">
        <v>3.110919</v>
      </c>
      <c r="N78">
        <v>3.1951369999999999</v>
      </c>
      <c r="O78">
        <v>3.2761200000000001</v>
      </c>
      <c r="P78">
        <v>3.3675489999999999</v>
      </c>
      <c r="Q78">
        <v>3.4620220000000002</v>
      </c>
      <c r="R78">
        <v>3.5591539999999999</v>
      </c>
      <c r="S78">
        <v>3.6667139999999998</v>
      </c>
      <c r="T78">
        <v>3.7621419999999999</v>
      </c>
      <c r="U78">
        <v>3.8595700000000002</v>
      </c>
      <c r="V78">
        <v>3.9603869999999999</v>
      </c>
      <c r="W78">
        <v>4.0601700000000003</v>
      </c>
      <c r="X78">
        <v>4.1535919999999997</v>
      </c>
      <c r="Y78">
        <v>4.2409699999999999</v>
      </c>
      <c r="Z78">
        <v>4.3119230000000002</v>
      </c>
      <c r="AA78">
        <v>4.3819739999999996</v>
      </c>
      <c r="AB78">
        <v>4.4354430000000002</v>
      </c>
      <c r="AC78">
        <v>4.4835529999999997</v>
      </c>
      <c r="AD78">
        <v>4.646598</v>
      </c>
      <c r="AE78">
        <v>4.7642509999999998</v>
      </c>
      <c r="AF78">
        <v>4.9072170000000002</v>
      </c>
      <c r="AG78">
        <v>5.051749</v>
      </c>
      <c r="AH78">
        <v>5.1925460000000001</v>
      </c>
      <c r="AI78" s="122">
        <v>1.7000000000000001E-2</v>
      </c>
    </row>
    <row r="79" spans="1:35" ht="15" customHeight="1" x14ac:dyDescent="0.25">
      <c r="A79" t="s">
        <v>779</v>
      </c>
      <c r="B79" t="s">
        <v>780</v>
      </c>
    </row>
    <row r="80" spans="1:35" ht="15" customHeight="1" x14ac:dyDescent="0.25">
      <c r="A80" t="s">
        <v>729</v>
      </c>
      <c r="B80" t="s">
        <v>838</v>
      </c>
      <c r="C80" t="s">
        <v>839</v>
      </c>
      <c r="D80" t="s">
        <v>807</v>
      </c>
      <c r="F80">
        <v>2.567952</v>
      </c>
      <c r="G80">
        <v>2.748713</v>
      </c>
      <c r="H80">
        <v>2.690401</v>
      </c>
      <c r="I80">
        <v>2.594827</v>
      </c>
      <c r="J80">
        <v>2.5371450000000002</v>
      </c>
      <c r="K80">
        <v>2.5118640000000001</v>
      </c>
      <c r="L80">
        <v>2.5285359999999999</v>
      </c>
      <c r="M80">
        <v>2.5749610000000001</v>
      </c>
      <c r="N80">
        <v>2.6504120000000002</v>
      </c>
      <c r="O80">
        <v>2.7467830000000002</v>
      </c>
      <c r="P80">
        <v>2.8621850000000002</v>
      </c>
      <c r="Q80">
        <v>2.9959530000000001</v>
      </c>
      <c r="R80">
        <v>3.1296710000000001</v>
      </c>
      <c r="S80">
        <v>3.2473390000000002</v>
      </c>
      <c r="T80">
        <v>3.353256</v>
      </c>
      <c r="U80">
        <v>3.458637</v>
      </c>
      <c r="V80">
        <v>3.5834860000000002</v>
      </c>
      <c r="W80">
        <v>3.6739259999999998</v>
      </c>
      <c r="X80">
        <v>3.7969930000000001</v>
      </c>
      <c r="Y80">
        <v>3.919721</v>
      </c>
      <c r="Z80">
        <v>4.0299940000000003</v>
      </c>
      <c r="AA80">
        <v>4.1286290000000001</v>
      </c>
      <c r="AB80">
        <v>4.219786</v>
      </c>
      <c r="AC80">
        <v>4.3260699999999996</v>
      </c>
      <c r="AD80">
        <v>4.4532629999999997</v>
      </c>
      <c r="AE80">
        <v>4.5625309999999999</v>
      </c>
      <c r="AF80">
        <v>4.6845780000000001</v>
      </c>
      <c r="AG80">
        <v>4.7961200000000002</v>
      </c>
      <c r="AH80">
        <v>4.9039799999999998</v>
      </c>
      <c r="AI80" s="122">
        <v>2.3E-2</v>
      </c>
    </row>
    <row r="81" spans="1:35" ht="15" customHeight="1" x14ac:dyDescent="0.25">
      <c r="A81" t="s">
        <v>761</v>
      </c>
      <c r="B81" t="s">
        <v>840</v>
      </c>
      <c r="C81" t="s">
        <v>841</v>
      </c>
      <c r="D81" t="s">
        <v>807</v>
      </c>
      <c r="F81">
        <v>4.1836200000000003</v>
      </c>
      <c r="G81">
        <v>3.8133339999999998</v>
      </c>
      <c r="H81">
        <v>3.546818</v>
      </c>
      <c r="I81">
        <v>3.3850720000000001</v>
      </c>
      <c r="J81">
        <v>3.4206259999999999</v>
      </c>
      <c r="K81">
        <v>3.4722719999999998</v>
      </c>
      <c r="L81">
        <v>3.5468540000000002</v>
      </c>
      <c r="M81">
        <v>3.630287</v>
      </c>
      <c r="N81">
        <v>3.7234970000000001</v>
      </c>
      <c r="O81">
        <v>3.802581</v>
      </c>
      <c r="P81">
        <v>3.9094630000000001</v>
      </c>
      <c r="Q81">
        <v>4.0110859999999997</v>
      </c>
      <c r="R81">
        <v>4.1205439999999998</v>
      </c>
      <c r="S81">
        <v>4.2256150000000003</v>
      </c>
      <c r="T81">
        <v>4.3688440000000002</v>
      </c>
      <c r="U81">
        <v>4.4726229999999996</v>
      </c>
      <c r="V81">
        <v>4.5849310000000001</v>
      </c>
      <c r="W81">
        <v>4.7055030000000002</v>
      </c>
      <c r="X81">
        <v>4.8162950000000002</v>
      </c>
      <c r="Y81">
        <v>4.9239509999999997</v>
      </c>
      <c r="Z81">
        <v>5.0477030000000003</v>
      </c>
      <c r="AA81">
        <v>5.1421849999999996</v>
      </c>
      <c r="AB81">
        <v>5.2949440000000001</v>
      </c>
      <c r="AC81">
        <v>5.4199840000000004</v>
      </c>
      <c r="AD81">
        <v>5.7022740000000001</v>
      </c>
      <c r="AE81">
        <v>5.8366470000000001</v>
      </c>
      <c r="AF81">
        <v>6.0244549999999997</v>
      </c>
      <c r="AG81">
        <v>6.1843849999999998</v>
      </c>
      <c r="AH81">
        <v>6.3883479999999997</v>
      </c>
      <c r="AI81" s="122">
        <v>1.4999999999999999E-2</v>
      </c>
    </row>
    <row r="82" spans="1:35" ht="15" customHeight="1" x14ac:dyDescent="0.25">
      <c r="A82" t="s">
        <v>764</v>
      </c>
      <c r="B82" t="s">
        <v>842</v>
      </c>
      <c r="C82" t="s">
        <v>843</v>
      </c>
      <c r="D82" t="s">
        <v>807</v>
      </c>
      <c r="F82">
        <v>3.6098750000000002</v>
      </c>
      <c r="G82">
        <v>3.172596</v>
      </c>
      <c r="H82">
        <v>3.1190829999999998</v>
      </c>
      <c r="I82">
        <v>2.9687239999999999</v>
      </c>
      <c r="J82">
        <v>2.997598</v>
      </c>
      <c r="K82">
        <v>3.0266190000000002</v>
      </c>
      <c r="L82">
        <v>3.077226</v>
      </c>
      <c r="M82">
        <v>3.162884</v>
      </c>
      <c r="N82">
        <v>3.2370730000000001</v>
      </c>
      <c r="O82">
        <v>3.3475990000000002</v>
      </c>
      <c r="P82">
        <v>3.4516439999999999</v>
      </c>
      <c r="Q82">
        <v>3.548645</v>
      </c>
      <c r="R82">
        <v>3.6605509999999999</v>
      </c>
      <c r="S82">
        <v>3.7747000000000002</v>
      </c>
      <c r="T82">
        <v>3.8803079999999999</v>
      </c>
      <c r="U82">
        <v>3.9910169999999998</v>
      </c>
      <c r="V82">
        <v>4.1034490000000003</v>
      </c>
      <c r="W82">
        <v>4.2131869999999996</v>
      </c>
      <c r="X82">
        <v>4.3319739999999998</v>
      </c>
      <c r="Y82">
        <v>4.472531</v>
      </c>
      <c r="Z82">
        <v>4.5840180000000004</v>
      </c>
      <c r="AA82">
        <v>4.7251000000000003</v>
      </c>
      <c r="AB82">
        <v>4.8252199999999998</v>
      </c>
      <c r="AC82">
        <v>4.9734860000000003</v>
      </c>
      <c r="AD82">
        <v>5.1665530000000004</v>
      </c>
      <c r="AE82">
        <v>5.3003859999999996</v>
      </c>
      <c r="AF82">
        <v>5.4424099999999997</v>
      </c>
      <c r="AG82">
        <v>5.5983910000000003</v>
      </c>
      <c r="AH82">
        <v>5.7410059999999996</v>
      </c>
      <c r="AI82" s="122">
        <v>1.7000000000000001E-2</v>
      </c>
    </row>
    <row r="83" spans="1:35" ht="15" customHeight="1" x14ac:dyDescent="0.25">
      <c r="A83" t="s">
        <v>733</v>
      </c>
      <c r="B83" t="s">
        <v>844</v>
      </c>
      <c r="C83" t="s">
        <v>845</v>
      </c>
      <c r="D83" t="s">
        <v>807</v>
      </c>
      <c r="F83">
        <v>5.0437149999999997</v>
      </c>
      <c r="G83">
        <v>4.7037279999999999</v>
      </c>
      <c r="H83">
        <v>4.5576949999999998</v>
      </c>
      <c r="I83">
        <v>4.3245930000000001</v>
      </c>
      <c r="J83">
        <v>4.2572089999999996</v>
      </c>
      <c r="K83">
        <v>4.1879670000000004</v>
      </c>
      <c r="L83">
        <v>4.1379219999999997</v>
      </c>
      <c r="M83">
        <v>4.2446190000000001</v>
      </c>
      <c r="N83">
        <v>4.3409810000000002</v>
      </c>
      <c r="O83">
        <v>4.4688920000000003</v>
      </c>
      <c r="P83">
        <v>4.5898709999999996</v>
      </c>
      <c r="Q83">
        <v>4.7214159999999996</v>
      </c>
      <c r="R83">
        <v>4.8426429999999998</v>
      </c>
      <c r="S83">
        <v>4.9910709999999998</v>
      </c>
      <c r="T83">
        <v>5.1081810000000001</v>
      </c>
      <c r="U83">
        <v>5.247566</v>
      </c>
      <c r="V83">
        <v>5.3814060000000001</v>
      </c>
      <c r="W83">
        <v>5.5087039999999998</v>
      </c>
      <c r="X83">
        <v>5.6418970000000002</v>
      </c>
      <c r="Y83">
        <v>5.8023699999999998</v>
      </c>
      <c r="Z83">
        <v>5.9324009999999996</v>
      </c>
      <c r="AA83">
        <v>6.0951740000000001</v>
      </c>
      <c r="AB83">
        <v>6.216132</v>
      </c>
      <c r="AC83">
        <v>6.3745209999999997</v>
      </c>
      <c r="AD83">
        <v>6.6419829999999997</v>
      </c>
      <c r="AE83">
        <v>6.8056260000000002</v>
      </c>
      <c r="AF83">
        <v>6.9774950000000002</v>
      </c>
      <c r="AG83">
        <v>7.1632290000000003</v>
      </c>
      <c r="AH83">
        <v>7.3366480000000003</v>
      </c>
      <c r="AI83" s="122">
        <v>1.2999999999999999E-2</v>
      </c>
    </row>
    <row r="84" spans="1:35" x14ac:dyDescent="0.25">
      <c r="A84" t="s">
        <v>846</v>
      </c>
      <c r="B84" t="s">
        <v>847</v>
      </c>
      <c r="C84" t="s">
        <v>848</v>
      </c>
      <c r="D84" t="s">
        <v>799</v>
      </c>
      <c r="F84">
        <v>97.775390999999999</v>
      </c>
      <c r="G84">
        <v>98.249626000000006</v>
      </c>
      <c r="H84">
        <v>112.876907</v>
      </c>
      <c r="I84">
        <v>110.262444</v>
      </c>
      <c r="J84">
        <v>113.532791</v>
      </c>
      <c r="K84">
        <v>117.281464</v>
      </c>
      <c r="L84">
        <v>120.742378</v>
      </c>
      <c r="M84">
        <v>123.976883</v>
      </c>
      <c r="N84">
        <v>127.50097700000001</v>
      </c>
      <c r="O84">
        <v>131.02647400000001</v>
      </c>
      <c r="P84">
        <v>134.81274400000001</v>
      </c>
      <c r="Q84">
        <v>138.76387</v>
      </c>
      <c r="R84">
        <v>142.85798600000001</v>
      </c>
      <c r="S84">
        <v>147.18293800000001</v>
      </c>
      <c r="T84">
        <v>151.08175700000001</v>
      </c>
      <c r="U84">
        <v>155.247559</v>
      </c>
      <c r="V84">
        <v>159.56146200000001</v>
      </c>
      <c r="W84">
        <v>163.72183200000001</v>
      </c>
      <c r="X84">
        <v>167.965836</v>
      </c>
      <c r="Y84">
        <v>172.70851099999999</v>
      </c>
      <c r="Z84">
        <v>176.76915</v>
      </c>
      <c r="AA84">
        <v>181.495026</v>
      </c>
      <c r="AB84">
        <v>185.55419900000001</v>
      </c>
      <c r="AC84">
        <v>190.254974</v>
      </c>
      <c r="AD84">
        <v>196.750259</v>
      </c>
      <c r="AE84">
        <v>201.401093</v>
      </c>
      <c r="AF84">
        <v>207.421021</v>
      </c>
      <c r="AG84">
        <v>213.41575599999999</v>
      </c>
      <c r="AH84">
        <v>219.61142000000001</v>
      </c>
      <c r="AI84" s="122">
        <v>2.9000000000000001E-2</v>
      </c>
    </row>
    <row r="85" spans="1:35" x14ac:dyDescent="0.25">
      <c r="A85" t="s">
        <v>792</v>
      </c>
      <c r="B85" t="s">
        <v>849</v>
      </c>
      <c r="C85" t="s">
        <v>850</v>
      </c>
      <c r="D85" t="s">
        <v>807</v>
      </c>
      <c r="F85">
        <v>3.6236540000000002</v>
      </c>
      <c r="G85">
        <v>3.3297249999999998</v>
      </c>
      <c r="H85">
        <v>3.1645539999999999</v>
      </c>
      <c r="I85">
        <v>2.997884</v>
      </c>
      <c r="J85">
        <v>2.9769559999999999</v>
      </c>
      <c r="K85">
        <v>2.96794</v>
      </c>
      <c r="L85">
        <v>2.9842379999999999</v>
      </c>
      <c r="M85">
        <v>3.0452379999999999</v>
      </c>
      <c r="N85">
        <v>3.111478</v>
      </c>
      <c r="O85">
        <v>3.1888200000000002</v>
      </c>
      <c r="P85">
        <v>3.2755860000000001</v>
      </c>
      <c r="Q85">
        <v>3.3643740000000002</v>
      </c>
      <c r="R85">
        <v>3.4520870000000001</v>
      </c>
      <c r="S85">
        <v>3.5443250000000002</v>
      </c>
      <c r="T85">
        <v>3.6421899999999998</v>
      </c>
      <c r="U85">
        <v>3.733625</v>
      </c>
      <c r="V85">
        <v>3.833323</v>
      </c>
      <c r="W85">
        <v>3.9181300000000001</v>
      </c>
      <c r="X85">
        <v>4.0180170000000004</v>
      </c>
      <c r="Y85">
        <v>4.1167040000000004</v>
      </c>
      <c r="Z85">
        <v>4.2102269999999997</v>
      </c>
      <c r="AA85">
        <v>4.2992270000000001</v>
      </c>
      <c r="AB85">
        <v>4.4036689999999998</v>
      </c>
      <c r="AC85">
        <v>4.5151320000000004</v>
      </c>
      <c r="AD85">
        <v>4.7134850000000004</v>
      </c>
      <c r="AE85">
        <v>4.8317930000000002</v>
      </c>
      <c r="AF85">
        <v>4.9758649999999998</v>
      </c>
      <c r="AG85">
        <v>5.1100469999999998</v>
      </c>
      <c r="AH85">
        <v>5.2560900000000004</v>
      </c>
      <c r="AI85" s="122">
        <v>1.2999999999999999E-2</v>
      </c>
    </row>
    <row r="86" spans="1:35" ht="15" customHeight="1" x14ac:dyDescent="0.25"/>
    <row r="87" spans="1:35" ht="15" customHeight="1" x14ac:dyDescent="0.25"/>
    <row r="88" spans="1:35" ht="15" customHeight="1" x14ac:dyDescent="0.25"/>
    <row r="89" spans="1:35" ht="15" customHeight="1" x14ac:dyDescent="0.25"/>
    <row r="90" spans="1:35" ht="15" customHeight="1" x14ac:dyDescent="0.25"/>
    <row r="91" spans="1:35" ht="15" customHeight="1" x14ac:dyDescent="0.25"/>
    <row r="92" spans="1:35" ht="15" customHeight="1" x14ac:dyDescent="0.25"/>
    <row r="93" spans="1:35" ht="15" customHeight="1" x14ac:dyDescent="0.25"/>
    <row r="94" spans="1:35" ht="15" customHeight="1" x14ac:dyDescent="0.25"/>
    <row r="95" spans="1:35" ht="15" customHeight="1" x14ac:dyDescent="0.25"/>
    <row r="96" spans="1:35" ht="15" customHeight="1" x14ac:dyDescent="0.25"/>
    <row r="97" ht="15" customHeight="1" x14ac:dyDescent="0.25"/>
    <row r="98" ht="15" customHeight="1" x14ac:dyDescent="0.25"/>
    <row r="99" ht="15" customHeight="1" x14ac:dyDescent="0.25"/>
    <row r="100" ht="15" customHeight="1" x14ac:dyDescent="0.25"/>
    <row r="101" ht="15" customHeight="1" x14ac:dyDescent="0.25"/>
    <row r="103" ht="15" customHeight="1" x14ac:dyDescent="0.25"/>
    <row r="104"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spans="2:33" ht="15" customHeight="1" x14ac:dyDescent="0.25"/>
    <row r="179" spans="2:33" ht="15" customHeight="1" x14ac:dyDescent="0.25"/>
    <row r="180" spans="2:33" ht="15" customHeight="1" x14ac:dyDescent="0.25"/>
    <row r="181" spans="2:33" ht="15" customHeight="1" x14ac:dyDescent="0.25"/>
    <row r="182" spans="2:33" ht="15" customHeight="1" x14ac:dyDescent="0.25"/>
    <row r="183" spans="2:33" ht="15" customHeight="1" x14ac:dyDescent="0.25"/>
    <row r="184" spans="2:33" ht="15" customHeight="1" x14ac:dyDescent="0.25"/>
    <row r="185" spans="2:33" ht="15" customHeight="1" x14ac:dyDescent="0.25"/>
    <row r="186" spans="2:33" ht="15" customHeight="1" x14ac:dyDescent="0.25"/>
    <row r="187" spans="2:33" ht="15" customHeight="1" x14ac:dyDescent="0.25">
      <c r="B187" s="539"/>
      <c r="C187" s="539"/>
      <c r="D187" s="539"/>
      <c r="E187" s="539"/>
      <c r="F187" s="539"/>
      <c r="G187" s="539"/>
      <c r="H187" s="539"/>
      <c r="I187" s="539"/>
      <c r="J187" s="539"/>
      <c r="K187" s="539"/>
      <c r="L187" s="539"/>
      <c r="M187" s="539"/>
      <c r="N187" s="539"/>
      <c r="O187" s="539"/>
      <c r="P187" s="539"/>
      <c r="Q187" s="539"/>
      <c r="R187" s="539"/>
      <c r="S187" s="539"/>
      <c r="T187" s="539"/>
      <c r="U187" s="539"/>
      <c r="V187" s="539"/>
      <c r="W187" s="539"/>
      <c r="X187" s="539"/>
      <c r="Y187" s="539"/>
      <c r="Z187" s="539"/>
      <c r="AA187" s="539"/>
      <c r="AB187" s="539"/>
      <c r="AC187" s="539"/>
      <c r="AD187" s="539"/>
      <c r="AE187" s="539"/>
      <c r="AF187" s="539"/>
      <c r="AG187" s="539"/>
    </row>
    <row r="188" spans="2:33" ht="15" customHeight="1" x14ac:dyDescent="0.25"/>
    <row r="189" spans="2:33" ht="15" customHeight="1" x14ac:dyDescent="0.25"/>
    <row r="190" spans="2:33" ht="15" customHeight="1" x14ac:dyDescent="0.25"/>
    <row r="191" spans="2:33" ht="15" customHeight="1" x14ac:dyDescent="0.25"/>
    <row r="192" spans="2:33"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spans="2:33" ht="15" customHeight="1" x14ac:dyDescent="0.25"/>
    <row r="386" spans="2:33" ht="15" customHeight="1" x14ac:dyDescent="0.25"/>
    <row r="387" spans="2:33" ht="15" customHeight="1" x14ac:dyDescent="0.25"/>
    <row r="389" spans="2:33" ht="15" customHeight="1" x14ac:dyDescent="0.25"/>
    <row r="390" spans="2:33" ht="15" customHeight="1" x14ac:dyDescent="0.25">
      <c r="B390" s="539"/>
      <c r="C390" s="539"/>
      <c r="D390" s="539"/>
      <c r="E390" s="539"/>
      <c r="F390" s="539"/>
      <c r="G390" s="539"/>
      <c r="H390" s="539"/>
      <c r="I390" s="539"/>
      <c r="J390" s="539"/>
      <c r="K390" s="539"/>
      <c r="L390" s="539"/>
      <c r="M390" s="539"/>
      <c r="N390" s="539"/>
      <c r="O390" s="539"/>
      <c r="P390" s="539"/>
      <c r="Q390" s="539"/>
      <c r="R390" s="539"/>
      <c r="S390" s="539"/>
      <c r="T390" s="539"/>
      <c r="U390" s="539"/>
      <c r="V390" s="539"/>
      <c r="W390" s="539"/>
      <c r="X390" s="539"/>
      <c r="Y390" s="539"/>
      <c r="Z390" s="539"/>
      <c r="AA390" s="539"/>
      <c r="AB390" s="539"/>
      <c r="AC390" s="539"/>
      <c r="AD390" s="539"/>
      <c r="AE390" s="539"/>
      <c r="AF390" s="539"/>
      <c r="AG390" s="539"/>
    </row>
    <row r="391" spans="2:33" ht="15" customHeight="1" x14ac:dyDescent="0.25"/>
    <row r="392" spans="2:33" ht="15" customHeight="1" x14ac:dyDescent="0.25"/>
    <row r="393" spans="2:33" ht="15" customHeight="1" x14ac:dyDescent="0.25"/>
    <row r="394" spans="2:33" ht="15" customHeight="1" x14ac:dyDescent="0.25"/>
    <row r="395" spans="2:33" ht="15" customHeight="1" x14ac:dyDescent="0.25"/>
    <row r="396" spans="2:33" ht="15" customHeight="1" x14ac:dyDescent="0.25"/>
    <row r="397" spans="2:33" ht="15" customHeight="1" x14ac:dyDescent="0.25"/>
    <row r="398" spans="2:33" ht="15" customHeight="1" x14ac:dyDescent="0.25"/>
    <row r="399" spans="2:33" ht="15" customHeight="1" x14ac:dyDescent="0.25"/>
    <row r="400" spans="2:33" ht="15" customHeight="1" x14ac:dyDescent="0.25"/>
    <row r="401" ht="15" customHeight="1" x14ac:dyDescent="0.25"/>
    <row r="402" ht="15" customHeight="1" x14ac:dyDescent="0.25"/>
    <row r="403" ht="15" customHeight="1" x14ac:dyDescent="0.25"/>
    <row r="404"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6"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5" ht="15" customHeight="1" x14ac:dyDescent="0.25"/>
    <row r="506" ht="15" customHeight="1" x14ac:dyDescent="0.25"/>
    <row r="507" ht="15" customHeight="1" x14ac:dyDescent="0.25"/>
    <row r="508" ht="15" customHeight="1" x14ac:dyDescent="0.25"/>
    <row r="509"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8"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9"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spans="2:33" ht="15" customHeight="1" x14ac:dyDescent="0.25"/>
    <row r="579" spans="2:33" ht="15" customHeight="1" x14ac:dyDescent="0.25"/>
    <row r="580" spans="2:33" ht="15" customHeight="1" x14ac:dyDescent="0.25"/>
    <row r="581" spans="2:33" ht="15" customHeight="1" x14ac:dyDescent="0.25"/>
    <row r="582" spans="2:33" ht="15" customHeight="1" x14ac:dyDescent="0.25"/>
    <row r="583" spans="2:33" ht="15" customHeight="1" x14ac:dyDescent="0.25"/>
    <row r="584" spans="2:33" ht="15" customHeight="1" x14ac:dyDescent="0.25"/>
    <row r="585" spans="2:33" ht="15" customHeight="1" x14ac:dyDescent="0.25"/>
    <row r="586" spans="2:33" ht="15" customHeight="1" x14ac:dyDescent="0.25"/>
    <row r="587" spans="2:33" ht="15" customHeight="1" x14ac:dyDescent="0.25"/>
    <row r="588" spans="2:33" ht="15" customHeight="1" x14ac:dyDescent="0.25"/>
    <row r="589" spans="2:33" ht="15" customHeight="1" x14ac:dyDescent="0.25"/>
    <row r="590" spans="2:33" ht="15" customHeight="1" x14ac:dyDescent="0.25"/>
    <row r="591" spans="2:33" ht="15" customHeight="1" x14ac:dyDescent="0.25">
      <c r="B591" s="539"/>
      <c r="C591" s="539"/>
      <c r="D591" s="539"/>
      <c r="E591" s="539"/>
      <c r="F591" s="539"/>
      <c r="G591" s="539"/>
      <c r="H591" s="539"/>
      <c r="I591" s="539"/>
      <c r="J591" s="539"/>
      <c r="K591" s="539"/>
      <c r="L591" s="539"/>
      <c r="M591" s="539"/>
      <c r="N591" s="539"/>
      <c r="O591" s="539"/>
      <c r="P591" s="539"/>
      <c r="Q591" s="539"/>
      <c r="R591" s="539"/>
      <c r="S591" s="539"/>
      <c r="T591" s="539"/>
      <c r="U591" s="539"/>
      <c r="V591" s="539"/>
      <c r="W591" s="539"/>
      <c r="X591" s="539"/>
      <c r="Y591" s="539"/>
      <c r="Z591" s="539"/>
      <c r="AA591" s="539"/>
      <c r="AB591" s="539"/>
      <c r="AC591" s="539"/>
      <c r="AD591" s="539"/>
      <c r="AE591" s="539"/>
      <c r="AF591" s="539"/>
      <c r="AG591" s="539"/>
    </row>
    <row r="592" spans="2:33"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1" ht="15" customHeight="1" x14ac:dyDescent="0.25"/>
    <row r="662" ht="15" customHeight="1" x14ac:dyDescent="0.25"/>
    <row r="663" ht="15" customHeight="1" x14ac:dyDescent="0.25"/>
    <row r="664" ht="15" customHeight="1" x14ac:dyDescent="0.25"/>
    <row r="666" ht="15" customHeight="1" x14ac:dyDescent="0.25"/>
    <row r="667" ht="15" customHeight="1" x14ac:dyDescent="0.25"/>
    <row r="668" ht="15" customHeight="1" x14ac:dyDescent="0.25"/>
    <row r="669"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5" ht="15" customHeight="1" x14ac:dyDescent="0.25"/>
    <row r="696" ht="15" customHeight="1" x14ac:dyDescent="0.25"/>
    <row r="697" ht="15" customHeight="1" x14ac:dyDescent="0.25"/>
    <row r="698" ht="15" customHeight="1" x14ac:dyDescent="0.25"/>
    <row r="699" ht="15" customHeight="1" x14ac:dyDescent="0.25"/>
    <row r="701" ht="15" customHeight="1" x14ac:dyDescent="0.25"/>
    <row r="702"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9"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6" ht="15" customHeight="1" x14ac:dyDescent="0.25"/>
    <row r="737" ht="15" customHeight="1" x14ac:dyDescent="0.25"/>
    <row r="738" ht="15" customHeight="1" x14ac:dyDescent="0.25"/>
    <row r="739" ht="15" customHeight="1" x14ac:dyDescent="0.25"/>
    <row r="740"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4" spans="2:33" ht="15" customHeight="1" x14ac:dyDescent="0.25"/>
    <row r="755" spans="2:33" ht="15" customHeight="1" x14ac:dyDescent="0.25"/>
    <row r="756" spans="2:33" ht="15" customHeight="1" x14ac:dyDescent="0.25"/>
    <row r="757" spans="2:33" ht="15" customHeight="1" x14ac:dyDescent="0.25"/>
    <row r="758" spans="2:33" ht="15" customHeight="1" x14ac:dyDescent="0.25"/>
    <row r="759" spans="2:33" ht="15" customHeight="1" x14ac:dyDescent="0.25"/>
    <row r="760" spans="2:33" ht="15" customHeight="1" x14ac:dyDescent="0.25"/>
    <row r="761" spans="2:33" ht="15" customHeight="1" x14ac:dyDescent="0.25"/>
    <row r="762" spans="2:33" ht="15" customHeight="1" x14ac:dyDescent="0.25"/>
    <row r="763" spans="2:33" ht="15" customHeight="1" x14ac:dyDescent="0.25"/>
    <row r="764" spans="2:33" ht="15" customHeight="1" x14ac:dyDescent="0.25"/>
    <row r="765" spans="2:33" ht="15" customHeight="1" x14ac:dyDescent="0.25"/>
    <row r="766" spans="2:33" ht="15" customHeight="1" x14ac:dyDescent="0.25">
      <c r="B766" s="539"/>
      <c r="C766" s="539"/>
      <c r="D766" s="539"/>
      <c r="E766" s="539"/>
      <c r="F766" s="539"/>
      <c r="G766" s="539"/>
      <c r="H766" s="539"/>
      <c r="I766" s="539"/>
      <c r="J766" s="539"/>
      <c r="K766" s="539"/>
      <c r="L766" s="539"/>
      <c r="M766" s="539"/>
      <c r="N766" s="539"/>
      <c r="O766" s="539"/>
      <c r="P766" s="539"/>
      <c r="Q766" s="539"/>
      <c r="R766" s="539"/>
      <c r="S766" s="539"/>
      <c r="T766" s="539"/>
      <c r="U766" s="539"/>
      <c r="V766" s="539"/>
      <c r="W766" s="539"/>
      <c r="X766" s="539"/>
      <c r="Y766" s="539"/>
      <c r="Z766" s="539"/>
      <c r="AA766" s="539"/>
      <c r="AB766" s="539"/>
      <c r="AC766" s="539"/>
      <c r="AD766" s="539"/>
      <c r="AE766" s="539"/>
      <c r="AF766" s="539"/>
      <c r="AG766" s="539"/>
    </row>
    <row r="767" spans="2:33" ht="15" customHeight="1" x14ac:dyDescent="0.25"/>
    <row r="768" spans="2:33"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5" ht="15" customHeight="1" x14ac:dyDescent="0.25"/>
    <row r="976" ht="15" customHeight="1" x14ac:dyDescent="0.25"/>
    <row r="977" spans="2:33" ht="15" customHeight="1" x14ac:dyDescent="0.25"/>
    <row r="978" spans="2:33" ht="15" customHeight="1" x14ac:dyDescent="0.25"/>
    <row r="979" spans="2:33" ht="15" customHeight="1" x14ac:dyDescent="0.25">
      <c r="B979" s="539"/>
      <c r="C979" s="539"/>
      <c r="D979" s="539"/>
      <c r="E979" s="539"/>
      <c r="F979" s="539"/>
      <c r="G979" s="539"/>
      <c r="H979" s="539"/>
      <c r="I979" s="539"/>
      <c r="J979" s="539"/>
      <c r="K979" s="539"/>
      <c r="L979" s="539"/>
      <c r="M979" s="539"/>
      <c r="N979" s="539"/>
      <c r="O979" s="539"/>
      <c r="P979" s="539"/>
      <c r="Q979" s="539"/>
      <c r="R979" s="539"/>
      <c r="S979" s="539"/>
      <c r="T979" s="539"/>
      <c r="U979" s="539"/>
      <c r="V979" s="539"/>
      <c r="W979" s="539"/>
      <c r="X979" s="539"/>
      <c r="Y979" s="539"/>
      <c r="Z979" s="539"/>
      <c r="AA979" s="539"/>
      <c r="AB979" s="539"/>
      <c r="AC979" s="539"/>
      <c r="AD979" s="539"/>
      <c r="AE979" s="539"/>
      <c r="AF979" s="539"/>
      <c r="AG979" s="539"/>
    </row>
    <row r="980" spans="2:33" ht="15" customHeight="1" x14ac:dyDescent="0.25"/>
    <row r="981" spans="2:33" ht="15" customHeight="1" x14ac:dyDescent="0.25"/>
    <row r="982" spans="2:33" ht="15" customHeight="1" x14ac:dyDescent="0.25"/>
    <row r="983" spans="2:33" ht="15" customHeight="1" x14ac:dyDescent="0.25"/>
    <row r="984" spans="2:33" ht="15" customHeight="1" x14ac:dyDescent="0.25"/>
    <row r="985" spans="2:33" ht="15" customHeight="1" x14ac:dyDescent="0.25"/>
    <row r="986" spans="2:33" ht="15" customHeight="1" x14ac:dyDescent="0.25"/>
    <row r="987" spans="2:33" ht="15" customHeight="1" x14ac:dyDescent="0.25"/>
    <row r="988" spans="2:33" ht="15" customHeight="1" x14ac:dyDescent="0.25"/>
    <row r="989" spans="2:33" ht="15" customHeight="1" x14ac:dyDescent="0.25"/>
    <row r="990" spans="2:33"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spans="2:33" ht="15" customHeight="1" x14ac:dyDescent="0.25"/>
    <row r="1106" spans="2:33" ht="15" customHeight="1" x14ac:dyDescent="0.25">
      <c r="B1106" s="539"/>
      <c r="C1106" s="539"/>
      <c r="D1106" s="539"/>
      <c r="E1106" s="539"/>
      <c r="F1106" s="539"/>
      <c r="G1106" s="539"/>
      <c r="H1106" s="539"/>
      <c r="I1106" s="539"/>
      <c r="J1106" s="539"/>
      <c r="K1106" s="539"/>
      <c r="L1106" s="539"/>
      <c r="M1106" s="539"/>
      <c r="N1106" s="539"/>
      <c r="O1106" s="539"/>
      <c r="P1106" s="539"/>
      <c r="Q1106" s="539"/>
      <c r="R1106" s="539"/>
      <c r="S1106" s="539"/>
      <c r="T1106" s="539"/>
      <c r="U1106" s="539"/>
      <c r="V1106" s="539"/>
      <c r="W1106" s="539"/>
      <c r="X1106" s="539"/>
      <c r="Y1106" s="539"/>
      <c r="Z1106" s="539"/>
      <c r="AA1106" s="539"/>
      <c r="AB1106" s="539"/>
      <c r="AC1106" s="539"/>
      <c r="AD1106" s="539"/>
      <c r="AE1106" s="539"/>
      <c r="AF1106" s="539"/>
      <c r="AG1106" s="539"/>
    </row>
    <row r="1107" spans="2:33" ht="15" customHeight="1" x14ac:dyDescent="0.25"/>
    <row r="1108" spans="2:33" ht="15" customHeight="1" x14ac:dyDescent="0.25"/>
    <row r="1109" spans="2:33" ht="15" customHeight="1" x14ac:dyDescent="0.25"/>
    <row r="1110" spans="2:33" ht="15" customHeight="1" x14ac:dyDescent="0.25"/>
    <row r="1111" spans="2:33" ht="15" customHeight="1" x14ac:dyDescent="0.25"/>
    <row r="1112" spans="2:33" ht="15" customHeight="1" x14ac:dyDescent="0.25"/>
    <row r="1113" spans="2:33" ht="15" customHeight="1" x14ac:dyDescent="0.25"/>
    <row r="1114" spans="2:33" ht="15" customHeight="1" x14ac:dyDescent="0.25"/>
    <row r="1115" spans="2:33" ht="15" customHeight="1" x14ac:dyDescent="0.25"/>
    <row r="1116" spans="2:33" ht="15" customHeight="1" x14ac:dyDescent="0.25"/>
    <row r="1179" ht="15" customHeight="1" x14ac:dyDescent="0.25"/>
    <row r="1180" ht="15" customHeight="1" x14ac:dyDescent="0.25"/>
    <row r="1181" ht="15" customHeight="1" x14ac:dyDescent="0.25"/>
    <row r="1182" ht="15" customHeight="1" x14ac:dyDescent="0.25"/>
    <row r="1183" ht="15" customHeight="1" x14ac:dyDescent="0.25"/>
    <row r="1184" ht="15" customHeight="1" x14ac:dyDescent="0.25"/>
    <row r="1186" ht="15" customHeight="1" x14ac:dyDescent="0.25"/>
    <row r="1187" ht="15" customHeight="1" x14ac:dyDescent="0.25"/>
    <row r="1188" ht="15" customHeight="1" x14ac:dyDescent="0.25"/>
    <row r="1189" ht="15" customHeight="1" x14ac:dyDescent="0.25"/>
    <row r="1190" ht="15" customHeight="1" x14ac:dyDescent="0.25"/>
    <row r="1191" ht="15" customHeight="1" x14ac:dyDescent="0.25"/>
    <row r="1192" ht="15" customHeight="1" x14ac:dyDescent="0.25"/>
    <row r="1193" ht="15" customHeight="1" x14ac:dyDescent="0.25"/>
    <row r="1194" ht="15" customHeight="1" x14ac:dyDescent="0.25"/>
    <row r="1195" ht="15" customHeight="1" x14ac:dyDescent="0.25"/>
    <row r="1196" ht="15" customHeight="1" x14ac:dyDescent="0.25"/>
    <row r="1197" ht="15" customHeight="1" x14ac:dyDescent="0.25"/>
    <row r="1198" ht="15" customHeight="1" x14ac:dyDescent="0.25"/>
    <row r="1199" ht="15" customHeight="1" x14ac:dyDescent="0.25"/>
    <row r="1200" ht="15" customHeight="1" x14ac:dyDescent="0.25"/>
    <row r="1201" ht="15" customHeight="1" x14ac:dyDescent="0.25"/>
    <row r="1202" ht="15" customHeight="1" x14ac:dyDescent="0.25"/>
    <row r="1203" ht="15" customHeight="1" x14ac:dyDescent="0.25"/>
    <row r="1204" ht="15" customHeight="1" x14ac:dyDescent="0.25"/>
    <row r="1206" ht="15" customHeight="1" x14ac:dyDescent="0.25"/>
    <row r="1208" ht="15" customHeight="1" x14ac:dyDescent="0.25"/>
    <row r="1209" ht="15" customHeight="1" x14ac:dyDescent="0.25"/>
    <row r="1210" ht="15" customHeight="1" x14ac:dyDescent="0.25"/>
    <row r="1211" ht="15" customHeight="1" x14ac:dyDescent="0.25"/>
    <row r="1212" ht="15" customHeight="1" x14ac:dyDescent="0.25"/>
    <row r="1213" ht="15" customHeight="1" x14ac:dyDescent="0.25"/>
    <row r="1214" ht="15" customHeight="1" x14ac:dyDescent="0.25"/>
    <row r="1215" ht="15" customHeight="1" x14ac:dyDescent="0.25"/>
    <row r="1216" ht="15" customHeight="1" x14ac:dyDescent="0.25"/>
    <row r="1217" ht="15" customHeight="1" x14ac:dyDescent="0.25"/>
    <row r="1219" ht="15" customHeight="1" x14ac:dyDescent="0.25"/>
    <row r="1220" ht="15" customHeight="1" x14ac:dyDescent="0.25"/>
    <row r="1221" ht="15" customHeight="1" x14ac:dyDescent="0.25"/>
    <row r="1222" ht="15" customHeight="1" x14ac:dyDescent="0.25"/>
    <row r="1223" ht="15" customHeight="1" x14ac:dyDescent="0.25"/>
    <row r="1224" ht="15" customHeight="1" x14ac:dyDescent="0.25"/>
    <row r="1225" ht="15" customHeight="1" x14ac:dyDescent="0.25"/>
    <row r="1226" ht="15" customHeight="1" x14ac:dyDescent="0.25"/>
    <row r="1227" ht="15" customHeight="1" x14ac:dyDescent="0.25"/>
    <row r="1229" ht="15" customHeight="1" x14ac:dyDescent="0.25"/>
    <row r="1231" ht="15" customHeight="1" x14ac:dyDescent="0.25"/>
    <row r="1232" ht="15" customHeight="1" x14ac:dyDescent="0.25"/>
    <row r="1233" ht="15" customHeight="1" x14ac:dyDescent="0.25"/>
    <row r="1234" ht="15" customHeight="1" x14ac:dyDescent="0.25"/>
    <row r="1235" ht="15" customHeight="1" x14ac:dyDescent="0.25"/>
    <row r="1236" ht="15" customHeight="1" x14ac:dyDescent="0.25"/>
    <row r="1237" ht="15" customHeight="1" x14ac:dyDescent="0.25"/>
    <row r="1238" ht="15" customHeight="1" x14ac:dyDescent="0.25"/>
    <row r="1240" ht="15" customHeight="1" x14ac:dyDescent="0.25"/>
    <row r="1241" ht="15" customHeight="1" x14ac:dyDescent="0.25"/>
    <row r="1242" ht="15" customHeight="1" x14ac:dyDescent="0.25"/>
    <row r="1243" ht="15" customHeight="1" x14ac:dyDescent="0.25"/>
    <row r="1244" ht="15" customHeight="1" x14ac:dyDescent="0.25"/>
    <row r="1245" ht="15" customHeight="1" x14ac:dyDescent="0.25"/>
    <row r="1246" ht="15" customHeight="1" x14ac:dyDescent="0.25"/>
    <row r="1247" ht="15" customHeight="1" x14ac:dyDescent="0.25"/>
    <row r="1248" ht="15" customHeight="1" x14ac:dyDescent="0.25"/>
    <row r="1249" ht="15" customHeight="1" x14ac:dyDescent="0.25"/>
    <row r="1250" ht="15" customHeight="1" x14ac:dyDescent="0.25"/>
    <row r="1251" ht="15" customHeight="1" x14ac:dyDescent="0.25"/>
    <row r="1252" ht="15" customHeight="1" x14ac:dyDescent="0.25"/>
    <row r="1254" ht="15" customHeight="1" x14ac:dyDescent="0.25"/>
    <row r="1255" ht="15" customHeight="1" x14ac:dyDescent="0.25"/>
    <row r="1256" ht="15" customHeight="1" x14ac:dyDescent="0.25"/>
    <row r="1257" ht="15" customHeight="1" x14ac:dyDescent="0.25"/>
    <row r="1258" ht="15" customHeight="1" x14ac:dyDescent="0.25"/>
    <row r="1259" ht="15" customHeight="1" x14ac:dyDescent="0.25"/>
    <row r="1260" ht="15" customHeight="1" x14ac:dyDescent="0.25"/>
    <row r="1261" ht="15" customHeight="1" x14ac:dyDescent="0.25"/>
    <row r="1262" ht="15" customHeight="1" x14ac:dyDescent="0.25"/>
    <row r="1264" ht="15" customHeight="1" x14ac:dyDescent="0.25"/>
    <row r="1265" spans="2:33" ht="15" customHeight="1" x14ac:dyDescent="0.25"/>
    <row r="1266" spans="2:33" ht="15" customHeight="1" x14ac:dyDescent="0.25"/>
    <row r="1267" spans="2:33" ht="15" customHeight="1" x14ac:dyDescent="0.25"/>
    <row r="1268" spans="2:33" ht="15" customHeight="1" x14ac:dyDescent="0.25"/>
    <row r="1269" spans="2:33" ht="15" customHeight="1" x14ac:dyDescent="0.25">
      <c r="B1269" s="539"/>
      <c r="C1269" s="539"/>
      <c r="D1269" s="539"/>
      <c r="E1269" s="539"/>
      <c r="F1269" s="539"/>
      <c r="G1269" s="539"/>
      <c r="H1269" s="539"/>
      <c r="I1269" s="539"/>
      <c r="J1269" s="539"/>
      <c r="K1269" s="539"/>
      <c r="L1269" s="539"/>
      <c r="M1269" s="539"/>
      <c r="N1269" s="539"/>
      <c r="O1269" s="539"/>
      <c r="P1269" s="539"/>
      <c r="Q1269" s="539"/>
      <c r="R1269" s="539"/>
      <c r="S1269" s="539"/>
      <c r="T1269" s="539"/>
      <c r="U1269" s="539"/>
      <c r="V1269" s="539"/>
      <c r="W1269" s="539"/>
      <c r="X1269" s="539"/>
      <c r="Y1269" s="539"/>
      <c r="Z1269" s="539"/>
      <c r="AA1269" s="539"/>
      <c r="AB1269" s="539"/>
      <c r="AC1269" s="539"/>
      <c r="AD1269" s="539"/>
      <c r="AE1269" s="539"/>
      <c r="AF1269" s="539"/>
      <c r="AG1269" s="539"/>
    </row>
    <row r="1270" spans="2:33" ht="15" customHeight="1" x14ac:dyDescent="0.25"/>
    <row r="1271" spans="2:33" ht="15" customHeight="1" x14ac:dyDescent="0.25"/>
    <row r="1272" spans="2:33" ht="15" customHeight="1" x14ac:dyDescent="0.25"/>
    <row r="1273" spans="2:33" ht="15" customHeight="1" x14ac:dyDescent="0.25"/>
    <row r="1274" spans="2:33" ht="15" customHeight="1" x14ac:dyDescent="0.25"/>
    <row r="1275" spans="2:33" ht="15" customHeight="1" x14ac:dyDescent="0.25"/>
    <row r="1276" spans="2:33" ht="15" customHeight="1" x14ac:dyDescent="0.25"/>
    <row r="1277" spans="2:33" ht="15" customHeight="1" x14ac:dyDescent="0.25"/>
    <row r="1278" spans="2:33" ht="15" customHeight="1" x14ac:dyDescent="0.25"/>
    <row r="1279" spans="2:33" ht="15" customHeight="1" x14ac:dyDescent="0.25"/>
    <row r="1280" spans="2:33" ht="15" customHeight="1" x14ac:dyDescent="0.25"/>
    <row r="1281" ht="15" customHeight="1" x14ac:dyDescent="0.25"/>
    <row r="1282" ht="15" customHeight="1" x14ac:dyDescent="0.25"/>
    <row r="1283" ht="15" customHeight="1" x14ac:dyDescent="0.25"/>
    <row r="1284" ht="15" customHeight="1" x14ac:dyDescent="0.25"/>
    <row r="1285" ht="15" customHeight="1" x14ac:dyDescent="0.25"/>
    <row r="1286" ht="15" customHeight="1" x14ac:dyDescent="0.25"/>
    <row r="1287" ht="15" customHeight="1" x14ac:dyDescent="0.25"/>
    <row r="1288" ht="15" customHeight="1" x14ac:dyDescent="0.25"/>
    <row r="1289" ht="15" customHeight="1" x14ac:dyDescent="0.25"/>
    <row r="1304" ht="15" customHeight="1" x14ac:dyDescent="0.25"/>
    <row r="1305" ht="15" customHeight="1" x14ac:dyDescent="0.25"/>
    <row r="1306" ht="15" customHeight="1" x14ac:dyDescent="0.25"/>
    <row r="1307" ht="15" customHeight="1" x14ac:dyDescent="0.25"/>
    <row r="1308" ht="15" customHeight="1" x14ac:dyDescent="0.25"/>
    <row r="1309" ht="15" customHeight="1" x14ac:dyDescent="0.25"/>
    <row r="1310" ht="15" customHeight="1" x14ac:dyDescent="0.25"/>
    <row r="1311" ht="15" customHeight="1" x14ac:dyDescent="0.25"/>
    <row r="1312" ht="15" customHeight="1" x14ac:dyDescent="0.25"/>
    <row r="1313" ht="15" customHeight="1" x14ac:dyDescent="0.25"/>
    <row r="1314" ht="15" customHeight="1" x14ac:dyDescent="0.25"/>
    <row r="1315" ht="15" customHeight="1" x14ac:dyDescent="0.25"/>
    <row r="1316" ht="15" customHeight="1" x14ac:dyDescent="0.25"/>
    <row r="1317" ht="15" customHeight="1" x14ac:dyDescent="0.25"/>
    <row r="1318" ht="15" customHeight="1" x14ac:dyDescent="0.25"/>
    <row r="1319" ht="15" customHeight="1" x14ac:dyDescent="0.25"/>
    <row r="1320" ht="15" customHeight="1" x14ac:dyDescent="0.25"/>
    <row r="1321" ht="15" customHeight="1" x14ac:dyDescent="0.25"/>
    <row r="1322" ht="15" customHeight="1" x14ac:dyDescent="0.25"/>
    <row r="1323" ht="15" customHeight="1" x14ac:dyDescent="0.25"/>
    <row r="1324" ht="15" customHeight="1" x14ac:dyDescent="0.25"/>
    <row r="1325" ht="15" customHeight="1" x14ac:dyDescent="0.25"/>
    <row r="1326" ht="15" customHeight="1" x14ac:dyDescent="0.25"/>
    <row r="1327" ht="15" customHeight="1" x14ac:dyDescent="0.25"/>
    <row r="1328" ht="15" customHeight="1" x14ac:dyDescent="0.25"/>
    <row r="1330" ht="15" customHeight="1" x14ac:dyDescent="0.25"/>
    <row r="1331" ht="15" customHeight="1" x14ac:dyDescent="0.25"/>
    <row r="1332" ht="15" customHeight="1" x14ac:dyDescent="0.25"/>
    <row r="1333" ht="15" customHeight="1" x14ac:dyDescent="0.25"/>
    <row r="1334" ht="15" customHeight="1" x14ac:dyDescent="0.25"/>
    <row r="1335" ht="15" customHeight="1" x14ac:dyDescent="0.25"/>
    <row r="1336" ht="15" customHeight="1" x14ac:dyDescent="0.25"/>
    <row r="1337" ht="15" customHeight="1" x14ac:dyDescent="0.25"/>
    <row r="1338" ht="15" customHeight="1" x14ac:dyDescent="0.25"/>
    <row r="1339" ht="15" customHeight="1" x14ac:dyDescent="0.25"/>
    <row r="1340" ht="15" customHeight="1" x14ac:dyDescent="0.25"/>
    <row r="1341" ht="15" customHeight="1" x14ac:dyDescent="0.25"/>
    <row r="1342" ht="15" customHeight="1" x14ac:dyDescent="0.25"/>
    <row r="1343" ht="15" customHeight="1" x14ac:dyDescent="0.25"/>
    <row r="1344" ht="15" customHeight="1" x14ac:dyDescent="0.25"/>
    <row r="1345" ht="15" customHeight="1" x14ac:dyDescent="0.25"/>
    <row r="1346" ht="15" customHeight="1" x14ac:dyDescent="0.25"/>
    <row r="1347" ht="15" customHeight="1" x14ac:dyDescent="0.25"/>
    <row r="1348" ht="15" customHeight="1" x14ac:dyDescent="0.25"/>
    <row r="1349" ht="15" customHeight="1" x14ac:dyDescent="0.25"/>
    <row r="1350" ht="15" customHeight="1" x14ac:dyDescent="0.25"/>
    <row r="1351" ht="15" customHeight="1" x14ac:dyDescent="0.25"/>
    <row r="1352" ht="15" customHeight="1" x14ac:dyDescent="0.25"/>
    <row r="1353" ht="15" customHeight="1" x14ac:dyDescent="0.25"/>
    <row r="1354" ht="15" customHeight="1" x14ac:dyDescent="0.25"/>
    <row r="1356" ht="15" customHeight="1" x14ac:dyDescent="0.25"/>
    <row r="1357" ht="15" customHeight="1" x14ac:dyDescent="0.25"/>
    <row r="1358" ht="15" customHeight="1" x14ac:dyDescent="0.25"/>
    <row r="1359" ht="15" customHeight="1" x14ac:dyDescent="0.25"/>
    <row r="1360" ht="15" customHeight="1" x14ac:dyDescent="0.25"/>
    <row r="1361" ht="15" customHeight="1" x14ac:dyDescent="0.25"/>
    <row r="1362" ht="15" customHeight="1" x14ac:dyDescent="0.25"/>
    <row r="1363" ht="15" customHeight="1" x14ac:dyDescent="0.25"/>
    <row r="1364" ht="15" customHeight="1" x14ac:dyDescent="0.25"/>
    <row r="1365" ht="15" customHeight="1" x14ac:dyDescent="0.25"/>
    <row r="1366" ht="15" customHeight="1" x14ac:dyDescent="0.25"/>
    <row r="1368" ht="15" customHeight="1" x14ac:dyDescent="0.25"/>
    <row r="1370" ht="15" customHeight="1" x14ac:dyDescent="0.25"/>
    <row r="1371" ht="15" customHeight="1" x14ac:dyDescent="0.25"/>
    <row r="1372" ht="15" customHeight="1" x14ac:dyDescent="0.25"/>
    <row r="1373" ht="15" customHeight="1" x14ac:dyDescent="0.25"/>
    <row r="1374" ht="15" customHeight="1" x14ac:dyDescent="0.25"/>
    <row r="1375" ht="15" customHeight="1" x14ac:dyDescent="0.25"/>
    <row r="1376" ht="15" customHeight="1" x14ac:dyDescent="0.25"/>
    <row r="1377" spans="2:33" ht="15" customHeight="1" x14ac:dyDescent="0.25"/>
    <row r="1379" spans="2:33" ht="15" customHeight="1" x14ac:dyDescent="0.25"/>
    <row r="1380" spans="2:33" ht="15" customHeight="1" x14ac:dyDescent="0.25"/>
    <row r="1381" spans="2:33" ht="15" customHeight="1" x14ac:dyDescent="0.25">
      <c r="B1381" s="539"/>
      <c r="C1381" s="539"/>
      <c r="D1381" s="539"/>
      <c r="E1381" s="539"/>
      <c r="F1381" s="539"/>
      <c r="G1381" s="539"/>
      <c r="H1381" s="539"/>
      <c r="I1381" s="539"/>
      <c r="J1381" s="539"/>
      <c r="K1381" s="539"/>
      <c r="L1381" s="539"/>
      <c r="M1381" s="539"/>
      <c r="N1381" s="539"/>
      <c r="O1381" s="539"/>
      <c r="P1381" s="539"/>
      <c r="Q1381" s="539"/>
      <c r="R1381" s="539"/>
      <c r="S1381" s="539"/>
      <c r="T1381" s="539"/>
      <c r="U1381" s="539"/>
      <c r="V1381" s="539"/>
      <c r="W1381" s="539"/>
      <c r="X1381" s="539"/>
      <c r="Y1381" s="539"/>
      <c r="Z1381" s="539"/>
      <c r="AA1381" s="539"/>
      <c r="AB1381" s="539"/>
      <c r="AC1381" s="539"/>
      <c r="AD1381" s="539"/>
      <c r="AE1381" s="539"/>
      <c r="AF1381" s="539"/>
      <c r="AG1381" s="539"/>
    </row>
    <row r="1382" spans="2:33" ht="15" customHeight="1" x14ac:dyDescent="0.25"/>
    <row r="1383" spans="2:33" ht="15" customHeight="1" x14ac:dyDescent="0.25"/>
    <row r="1384" spans="2:33" ht="15" customHeight="1" x14ac:dyDescent="0.25"/>
    <row r="1385" spans="2:33" ht="15" customHeight="1" x14ac:dyDescent="0.25"/>
    <row r="1386" spans="2:33" ht="15" customHeight="1" x14ac:dyDescent="0.25"/>
    <row r="1387" spans="2:33" ht="15" customHeight="1" x14ac:dyDescent="0.25"/>
    <row r="1388" spans="2:33" ht="15" customHeight="1" x14ac:dyDescent="0.25"/>
    <row r="1389" spans="2:33" ht="15" customHeight="1" x14ac:dyDescent="0.25"/>
    <row r="1390" spans="2:33" ht="15" customHeight="1" x14ac:dyDescent="0.25"/>
    <row r="1391" spans="2:33" ht="15" customHeight="1" x14ac:dyDescent="0.25"/>
    <row r="1392" spans="2:33" ht="15" customHeight="1" x14ac:dyDescent="0.25"/>
    <row r="1393" ht="15" customHeight="1" x14ac:dyDescent="0.25"/>
    <row r="1394" ht="15" customHeight="1" x14ac:dyDescent="0.25"/>
    <row r="1395" ht="15" customHeight="1" x14ac:dyDescent="0.25"/>
    <row r="1396" ht="15" customHeight="1" x14ac:dyDescent="0.25"/>
    <row r="1397" ht="15" customHeight="1" x14ac:dyDescent="0.25"/>
    <row r="1398" ht="15" customHeight="1" x14ac:dyDescent="0.25"/>
    <row r="1399" ht="15" customHeight="1" x14ac:dyDescent="0.25"/>
    <row r="1400" ht="15" customHeight="1" x14ac:dyDescent="0.25"/>
    <row r="1401" ht="15" customHeight="1" x14ac:dyDescent="0.25"/>
    <row r="1402" ht="15" customHeight="1" x14ac:dyDescent="0.25"/>
    <row r="1403" ht="15" customHeight="1" x14ac:dyDescent="0.25"/>
    <row r="1404" ht="15" customHeight="1" x14ac:dyDescent="0.25"/>
    <row r="1405" ht="15" customHeight="1" x14ac:dyDescent="0.25"/>
    <row r="1454" ht="15" customHeight="1" x14ac:dyDescent="0.25"/>
    <row r="1455" ht="15" customHeight="1" x14ac:dyDescent="0.25"/>
    <row r="1456" ht="15" customHeight="1" x14ac:dyDescent="0.25"/>
    <row r="1457" ht="15" customHeight="1" x14ac:dyDescent="0.25"/>
    <row r="1458" ht="15" customHeight="1" x14ac:dyDescent="0.25"/>
    <row r="1459" ht="15" customHeight="1" x14ac:dyDescent="0.25"/>
    <row r="1461" ht="15" customHeight="1" x14ac:dyDescent="0.25"/>
    <row r="1462" ht="15" customHeight="1" x14ac:dyDescent="0.25"/>
    <row r="1463" ht="15" customHeight="1" x14ac:dyDescent="0.25"/>
    <row r="1464" ht="15" customHeight="1" x14ac:dyDescent="0.25"/>
    <row r="1466" ht="15" customHeight="1" x14ac:dyDescent="0.25"/>
    <row r="1467" ht="15" customHeight="1" x14ac:dyDescent="0.25"/>
    <row r="1468" ht="15" customHeight="1" x14ac:dyDescent="0.25"/>
    <row r="1469" ht="15" customHeight="1" x14ac:dyDescent="0.25"/>
    <row r="1471" ht="15" customHeight="1" x14ac:dyDescent="0.25"/>
    <row r="1473" spans="2:33" ht="15" customHeight="1" x14ac:dyDescent="0.25"/>
    <row r="1474" spans="2:33" ht="15" customHeight="1" x14ac:dyDescent="0.25"/>
    <row r="1475" spans="2:33" ht="15" customHeight="1" x14ac:dyDescent="0.25"/>
    <row r="1476" spans="2:33" ht="15" customHeight="1" x14ac:dyDescent="0.25"/>
    <row r="1478" spans="2:33" ht="15" customHeight="1" x14ac:dyDescent="0.25"/>
    <row r="1479" spans="2:33" ht="15" customHeight="1" x14ac:dyDescent="0.25"/>
    <row r="1480" spans="2:33" ht="15" customHeight="1" x14ac:dyDescent="0.25"/>
    <row r="1481" spans="2:33" ht="15" customHeight="1" x14ac:dyDescent="0.25"/>
    <row r="1482" spans="2:33" ht="15" customHeight="1" x14ac:dyDescent="0.25"/>
    <row r="1483" spans="2:33" ht="15" customHeight="1" x14ac:dyDescent="0.25">
      <c r="B1483" s="539"/>
      <c r="C1483" s="539"/>
      <c r="D1483" s="539"/>
      <c r="E1483" s="539"/>
      <c r="F1483" s="539"/>
      <c r="G1483" s="539"/>
      <c r="H1483" s="539"/>
      <c r="I1483" s="539"/>
      <c r="J1483" s="539"/>
      <c r="K1483" s="539"/>
      <c r="L1483" s="539"/>
      <c r="M1483" s="539"/>
      <c r="N1483" s="539"/>
      <c r="O1483" s="539"/>
      <c r="P1483" s="539"/>
      <c r="Q1483" s="539"/>
      <c r="R1483" s="539"/>
      <c r="S1483" s="539"/>
      <c r="T1483" s="539"/>
      <c r="U1483" s="539"/>
      <c r="V1483" s="539"/>
      <c r="W1483" s="539"/>
      <c r="X1483" s="539"/>
      <c r="Y1483" s="539"/>
      <c r="Z1483" s="539"/>
      <c r="AA1483" s="539"/>
      <c r="AB1483" s="539"/>
      <c r="AC1483" s="539"/>
      <c r="AD1483" s="539"/>
      <c r="AE1483" s="539"/>
      <c r="AF1483" s="539"/>
      <c r="AG1483" s="539"/>
    </row>
    <row r="1484" spans="2:33" ht="15" customHeight="1" x14ac:dyDescent="0.25"/>
    <row r="1485" spans="2:33" ht="15" customHeight="1" x14ac:dyDescent="0.25"/>
    <row r="1486" spans="2:33" ht="15" customHeight="1" x14ac:dyDescent="0.25"/>
    <row r="1487" spans="2:33" ht="15" customHeight="1" x14ac:dyDescent="0.25"/>
    <row r="1488" spans="2:33" ht="15" customHeight="1" x14ac:dyDescent="0.25"/>
    <row r="1489" ht="15" customHeight="1" x14ac:dyDescent="0.25"/>
    <row r="1504" ht="15" customHeight="1" x14ac:dyDescent="0.25"/>
    <row r="1505" ht="15" customHeight="1" x14ac:dyDescent="0.25"/>
    <row r="1506" ht="15" customHeight="1" x14ac:dyDescent="0.25"/>
    <row r="1507" ht="15" customHeight="1" x14ac:dyDescent="0.25"/>
    <row r="1508" ht="15" customHeight="1" x14ac:dyDescent="0.25"/>
    <row r="1509" ht="15" customHeight="1" x14ac:dyDescent="0.25"/>
    <row r="1510" ht="15" customHeight="1" x14ac:dyDescent="0.25"/>
    <row r="1511" ht="15" customHeight="1" x14ac:dyDescent="0.25"/>
    <row r="1512" ht="15" customHeight="1" x14ac:dyDescent="0.25"/>
    <row r="1513" ht="15" customHeight="1" x14ac:dyDescent="0.25"/>
    <row r="1514" ht="15" customHeight="1" x14ac:dyDescent="0.25"/>
    <row r="1515" ht="15" customHeight="1" x14ac:dyDescent="0.25"/>
    <row r="1516" ht="15" customHeight="1" x14ac:dyDescent="0.25"/>
    <row r="1517" ht="15" customHeight="1" x14ac:dyDescent="0.25"/>
    <row r="1519" ht="15" customHeight="1" x14ac:dyDescent="0.25"/>
    <row r="1520" ht="15" customHeight="1" x14ac:dyDescent="0.25"/>
    <row r="1521" ht="15" customHeight="1" x14ac:dyDescent="0.25"/>
    <row r="1522" ht="15" customHeight="1" x14ac:dyDescent="0.25"/>
    <row r="1523" ht="15" customHeight="1" x14ac:dyDescent="0.25"/>
    <row r="1524" ht="15" customHeight="1" x14ac:dyDescent="0.25"/>
    <row r="1525" ht="15" customHeight="1" x14ac:dyDescent="0.25"/>
    <row r="1526" ht="15" customHeight="1" x14ac:dyDescent="0.25"/>
    <row r="1527" ht="15" customHeight="1" x14ac:dyDescent="0.25"/>
    <row r="1528" ht="15" customHeight="1" x14ac:dyDescent="0.25"/>
    <row r="1529" ht="15" customHeight="1" x14ac:dyDescent="0.25"/>
    <row r="1530" ht="15" customHeight="1" x14ac:dyDescent="0.25"/>
    <row r="1531" ht="15" customHeight="1" x14ac:dyDescent="0.25"/>
    <row r="1532" ht="15" customHeight="1" x14ac:dyDescent="0.25"/>
    <row r="1533" ht="15" customHeight="1" x14ac:dyDescent="0.25"/>
    <row r="1534" ht="15" customHeight="1" x14ac:dyDescent="0.25"/>
    <row r="1535" ht="15" customHeight="1" x14ac:dyDescent="0.25"/>
    <row r="1536" ht="15" customHeight="1" x14ac:dyDescent="0.25"/>
    <row r="1537" ht="15" customHeight="1" x14ac:dyDescent="0.25"/>
    <row r="1538" ht="15" customHeight="1" x14ac:dyDescent="0.25"/>
    <row r="1539" ht="15" customHeight="1" x14ac:dyDescent="0.25"/>
    <row r="1540" ht="15" customHeight="1" x14ac:dyDescent="0.25"/>
    <row r="1541" ht="15" customHeight="1" x14ac:dyDescent="0.25"/>
    <row r="1542" ht="15" customHeight="1" x14ac:dyDescent="0.25"/>
    <row r="1544" ht="15" customHeight="1" x14ac:dyDescent="0.25"/>
    <row r="1547" ht="15" customHeight="1" x14ac:dyDescent="0.25"/>
    <row r="1548" ht="15" customHeight="1" x14ac:dyDescent="0.25"/>
    <row r="1549" ht="15" customHeight="1" x14ac:dyDescent="0.25"/>
    <row r="1550" ht="15" customHeight="1" x14ac:dyDescent="0.25"/>
    <row r="1551" ht="15" customHeight="1" x14ac:dyDescent="0.25"/>
    <row r="1552" ht="15" customHeight="1" x14ac:dyDescent="0.25"/>
    <row r="1553" ht="15" customHeight="1" x14ac:dyDescent="0.25"/>
    <row r="1554" ht="15" customHeight="1" x14ac:dyDescent="0.25"/>
    <row r="1555" ht="15" customHeight="1" x14ac:dyDescent="0.25"/>
    <row r="1556" ht="15" customHeight="1" x14ac:dyDescent="0.25"/>
    <row r="1557" ht="15" customHeight="1" x14ac:dyDescent="0.25"/>
    <row r="1558" ht="15" customHeight="1" x14ac:dyDescent="0.25"/>
    <row r="1559" ht="15" customHeight="1" x14ac:dyDescent="0.25"/>
    <row r="1560" ht="15" customHeight="1" x14ac:dyDescent="0.25"/>
    <row r="1561" ht="15" customHeight="1" x14ac:dyDescent="0.25"/>
    <row r="1562" ht="15" customHeight="1" x14ac:dyDescent="0.25"/>
    <row r="1563" ht="15" customHeight="1" x14ac:dyDescent="0.25"/>
    <row r="1565" ht="15" customHeight="1" x14ac:dyDescent="0.25"/>
    <row r="1567" ht="15" customHeight="1" x14ac:dyDescent="0.25"/>
    <row r="1568" ht="15" customHeight="1" x14ac:dyDescent="0.25"/>
    <row r="1569" spans="2:33" ht="15" customHeight="1" x14ac:dyDescent="0.25"/>
    <row r="1570" spans="2:33" ht="15" customHeight="1" x14ac:dyDescent="0.25"/>
    <row r="1571" spans="2:33" ht="15" customHeight="1" x14ac:dyDescent="0.25"/>
    <row r="1572" spans="2:33" ht="15" customHeight="1" x14ac:dyDescent="0.25"/>
    <row r="1573" spans="2:33" ht="15" customHeight="1" x14ac:dyDescent="0.25"/>
    <row r="1574" spans="2:33" ht="15" customHeight="1" x14ac:dyDescent="0.25"/>
    <row r="1576" spans="2:33" ht="15" customHeight="1" x14ac:dyDescent="0.25"/>
    <row r="1577" spans="2:33" ht="15" customHeight="1" x14ac:dyDescent="0.25">
      <c r="B1577" s="539"/>
      <c r="C1577" s="539"/>
      <c r="D1577" s="539"/>
      <c r="E1577" s="539"/>
      <c r="F1577" s="539"/>
      <c r="G1577" s="539"/>
      <c r="H1577" s="539"/>
      <c r="I1577" s="539"/>
      <c r="J1577" s="539"/>
      <c r="K1577" s="539"/>
      <c r="L1577" s="539"/>
      <c r="M1577" s="539"/>
      <c r="N1577" s="539"/>
      <c r="O1577" s="539"/>
      <c r="P1577" s="539"/>
      <c r="Q1577" s="539"/>
      <c r="R1577" s="539"/>
      <c r="S1577" s="539"/>
      <c r="T1577" s="539"/>
      <c r="U1577" s="539"/>
      <c r="V1577" s="539"/>
      <c r="W1577" s="539"/>
      <c r="X1577" s="539"/>
      <c r="Y1577" s="539"/>
      <c r="Z1577" s="539"/>
      <c r="AA1577" s="539"/>
      <c r="AB1577" s="539"/>
      <c r="AC1577" s="539"/>
      <c r="AD1577" s="539"/>
      <c r="AE1577" s="539"/>
      <c r="AF1577" s="539"/>
      <c r="AG1577" s="539"/>
    </row>
    <row r="1578" spans="2:33" ht="15" customHeight="1" x14ac:dyDescent="0.25"/>
    <row r="1579" spans="2:33" ht="15" customHeight="1" x14ac:dyDescent="0.25"/>
    <row r="1580" spans="2:33" ht="15" customHeight="1" x14ac:dyDescent="0.25"/>
    <row r="1581" spans="2:33" ht="15" customHeight="1" x14ac:dyDescent="0.25"/>
    <row r="1582" spans="2:33" ht="15" customHeight="1" x14ac:dyDescent="0.25"/>
    <row r="1583" spans="2:33" ht="15" customHeight="1" x14ac:dyDescent="0.25"/>
    <row r="1584" spans="2:33" ht="15" customHeight="1" x14ac:dyDescent="0.25"/>
    <row r="1585" ht="15" customHeight="1" x14ac:dyDescent="0.25"/>
    <row r="1586" ht="15" customHeight="1" x14ac:dyDescent="0.25"/>
    <row r="1587" ht="15" customHeight="1" x14ac:dyDescent="0.25"/>
    <row r="1588" ht="15" customHeight="1" x14ac:dyDescent="0.25"/>
    <row r="1589" ht="15" customHeight="1" x14ac:dyDescent="0.25"/>
    <row r="1590" ht="15" customHeight="1" x14ac:dyDescent="0.25"/>
    <row r="1591" ht="15" customHeight="1" x14ac:dyDescent="0.25"/>
    <row r="1592" ht="15" customHeight="1" x14ac:dyDescent="0.25"/>
    <row r="1593" ht="15" customHeight="1" x14ac:dyDescent="0.25"/>
    <row r="1594" ht="15" customHeight="1" x14ac:dyDescent="0.25"/>
    <row r="1595" ht="15" customHeight="1" x14ac:dyDescent="0.25"/>
    <row r="1596" ht="15" customHeight="1" x14ac:dyDescent="0.25"/>
    <row r="1597" ht="15" customHeight="1" x14ac:dyDescent="0.25"/>
    <row r="1598" ht="15" customHeight="1" x14ac:dyDescent="0.25"/>
    <row r="1599" ht="15" customHeight="1" x14ac:dyDescent="0.25"/>
    <row r="1600" ht="15" customHeight="1" x14ac:dyDescent="0.25"/>
    <row r="1601" ht="15" customHeight="1" x14ac:dyDescent="0.25"/>
    <row r="1602" ht="15" customHeight="1" x14ac:dyDescent="0.25"/>
    <row r="1603" ht="15" customHeight="1" x14ac:dyDescent="0.25"/>
    <row r="1604" ht="15" customHeight="1" x14ac:dyDescent="0.25"/>
    <row r="1605" ht="15" customHeight="1" x14ac:dyDescent="0.25"/>
    <row r="1729" ht="15" customHeight="1" x14ac:dyDescent="0.25"/>
    <row r="1730" ht="15" customHeight="1" x14ac:dyDescent="0.25"/>
    <row r="1731" ht="15" customHeight="1" x14ac:dyDescent="0.25"/>
    <row r="1732" ht="15" customHeight="1" x14ac:dyDescent="0.25"/>
    <row r="1733" ht="15" customHeight="1" x14ac:dyDescent="0.25"/>
    <row r="1734" ht="15" customHeight="1" x14ac:dyDescent="0.25"/>
    <row r="1735" ht="15" customHeight="1" x14ac:dyDescent="0.25"/>
    <row r="1736" ht="15" customHeight="1" x14ac:dyDescent="0.25"/>
    <row r="1737" ht="15" customHeight="1" x14ac:dyDescent="0.25"/>
    <row r="1738" ht="15" customHeight="1" x14ac:dyDescent="0.25"/>
    <row r="1740" ht="15" customHeight="1" x14ac:dyDescent="0.25"/>
    <row r="1742" ht="15" customHeight="1" x14ac:dyDescent="0.25"/>
    <row r="1743" ht="15" customHeight="1" x14ac:dyDescent="0.25"/>
    <row r="1744" ht="15" customHeight="1" x14ac:dyDescent="0.25"/>
    <row r="1746" ht="15" customHeight="1" x14ac:dyDescent="0.25"/>
    <row r="1747" ht="15" customHeight="1" x14ac:dyDescent="0.25"/>
    <row r="1748" ht="15" customHeight="1" x14ac:dyDescent="0.25"/>
    <row r="1749" ht="15" customHeight="1" x14ac:dyDescent="0.25"/>
    <row r="1751" ht="15" customHeight="1" x14ac:dyDescent="0.25"/>
    <row r="1752" ht="15" customHeight="1" x14ac:dyDescent="0.25"/>
    <row r="1753" ht="15" customHeight="1" x14ac:dyDescent="0.25"/>
    <row r="1754" ht="15" customHeight="1" x14ac:dyDescent="0.25"/>
    <row r="1755" ht="15" customHeight="1" x14ac:dyDescent="0.25"/>
    <row r="1757" ht="15" customHeight="1" x14ac:dyDescent="0.25"/>
    <row r="1758" ht="15" customHeight="1" x14ac:dyDescent="0.25"/>
    <row r="1759" ht="15" customHeight="1" x14ac:dyDescent="0.25"/>
    <row r="1760" ht="15" customHeight="1" x14ac:dyDescent="0.25"/>
    <row r="1761" ht="15" customHeight="1" x14ac:dyDescent="0.25"/>
    <row r="1762" ht="15" customHeight="1" x14ac:dyDescent="0.25"/>
    <row r="1763" ht="15" customHeight="1" x14ac:dyDescent="0.25"/>
    <row r="1764" ht="15" customHeight="1" x14ac:dyDescent="0.25"/>
    <row r="1765" ht="15" customHeight="1" x14ac:dyDescent="0.25"/>
    <row r="1767" ht="15" customHeight="1" x14ac:dyDescent="0.25"/>
    <row r="1768" ht="15" customHeight="1" x14ac:dyDescent="0.25"/>
    <row r="1769" ht="15" customHeight="1" x14ac:dyDescent="0.25"/>
    <row r="1770" ht="15" customHeight="1" x14ac:dyDescent="0.25"/>
    <row r="1772" ht="15" customHeight="1" x14ac:dyDescent="0.25"/>
    <row r="1773" ht="15" customHeight="1" x14ac:dyDescent="0.25"/>
    <row r="1774" ht="15" customHeight="1" x14ac:dyDescent="0.25"/>
    <row r="1775" ht="15" customHeight="1" x14ac:dyDescent="0.25"/>
    <row r="1776" ht="15" customHeight="1" x14ac:dyDescent="0.25"/>
    <row r="1777" ht="15" customHeight="1" x14ac:dyDescent="0.25"/>
    <row r="1778" ht="15" customHeight="1" x14ac:dyDescent="0.25"/>
    <row r="1779" ht="15" customHeight="1" x14ac:dyDescent="0.25"/>
    <row r="1782" ht="15" customHeight="1" x14ac:dyDescent="0.25"/>
    <row r="1783" ht="15" customHeight="1" x14ac:dyDescent="0.25"/>
    <row r="1784" ht="15" customHeight="1" x14ac:dyDescent="0.25"/>
    <row r="1785" ht="15" customHeight="1" x14ac:dyDescent="0.25"/>
    <row r="1786" ht="15" customHeight="1" x14ac:dyDescent="0.25"/>
    <row r="1788" ht="15" customHeight="1" x14ac:dyDescent="0.25"/>
    <row r="1789" ht="15" customHeight="1" x14ac:dyDescent="0.25"/>
    <row r="1790" ht="15" customHeight="1" x14ac:dyDescent="0.25"/>
    <row r="1791" ht="15" customHeight="1" x14ac:dyDescent="0.25"/>
    <row r="1792" ht="15" customHeight="1" x14ac:dyDescent="0.25"/>
    <row r="1794" ht="15" customHeight="1" x14ac:dyDescent="0.25"/>
    <row r="1795" ht="15" customHeight="1" x14ac:dyDescent="0.25"/>
    <row r="1796" ht="15" customHeight="1" x14ac:dyDescent="0.25"/>
    <row r="1798" ht="15" customHeight="1" x14ac:dyDescent="0.25"/>
    <row r="1799" ht="15" customHeight="1" x14ac:dyDescent="0.25"/>
    <row r="1800" ht="15" customHeight="1" x14ac:dyDescent="0.25"/>
    <row r="1801" ht="15" customHeight="1" x14ac:dyDescent="0.25"/>
    <row r="1803" ht="15" customHeight="1" x14ac:dyDescent="0.25"/>
    <row r="1804" ht="15" customHeight="1" x14ac:dyDescent="0.25"/>
    <row r="1805" ht="15" customHeight="1" x14ac:dyDescent="0.25"/>
    <row r="1806" ht="15" customHeight="1" x14ac:dyDescent="0.25"/>
    <row r="1807" ht="15" customHeight="1" x14ac:dyDescent="0.25"/>
    <row r="1808" ht="15" customHeight="1" x14ac:dyDescent="0.25"/>
    <row r="1809" spans="2:33" ht="15" customHeight="1" x14ac:dyDescent="0.25"/>
    <row r="1810" spans="2:33" ht="15" customHeight="1" x14ac:dyDescent="0.25"/>
    <row r="1812" spans="2:33" ht="15" customHeight="1" x14ac:dyDescent="0.25"/>
    <row r="1813" spans="2:33" ht="15" customHeight="1" x14ac:dyDescent="0.25"/>
    <row r="1814" spans="2:33" ht="15" customHeight="1" x14ac:dyDescent="0.25"/>
    <row r="1816" spans="2:33" ht="15" customHeight="1" x14ac:dyDescent="0.25"/>
    <row r="1817" spans="2:33" ht="15" customHeight="1" x14ac:dyDescent="0.25"/>
    <row r="1818" spans="2:33" ht="15" customHeight="1" x14ac:dyDescent="0.25"/>
    <row r="1819" spans="2:33" ht="15" customHeight="1" x14ac:dyDescent="0.25"/>
    <row r="1820" spans="2:33" ht="15" customHeight="1" x14ac:dyDescent="0.25"/>
    <row r="1821" spans="2:33" ht="15" customHeight="1" x14ac:dyDescent="0.25"/>
    <row r="1822" spans="2:33" ht="15" customHeight="1" x14ac:dyDescent="0.25"/>
    <row r="1823" spans="2:33" ht="15" customHeight="1" x14ac:dyDescent="0.25"/>
    <row r="1824" spans="2:33" ht="15" customHeight="1" x14ac:dyDescent="0.25">
      <c r="B1824" s="539"/>
      <c r="C1824" s="539"/>
      <c r="D1824" s="539"/>
      <c r="E1824" s="539"/>
      <c r="F1824" s="539"/>
      <c r="G1824" s="539"/>
      <c r="H1824" s="539"/>
      <c r="I1824" s="539"/>
      <c r="J1824" s="539"/>
      <c r="K1824" s="539"/>
      <c r="L1824" s="539"/>
      <c r="M1824" s="539"/>
      <c r="N1824" s="539"/>
      <c r="O1824" s="539"/>
      <c r="P1824" s="539"/>
      <c r="Q1824" s="539"/>
      <c r="R1824" s="539"/>
      <c r="S1824" s="539"/>
      <c r="T1824" s="539"/>
      <c r="U1824" s="539"/>
      <c r="V1824" s="539"/>
      <c r="W1824" s="539"/>
      <c r="X1824" s="539"/>
      <c r="Y1824" s="539"/>
      <c r="Z1824" s="539"/>
      <c r="AA1824" s="539"/>
      <c r="AB1824" s="539"/>
      <c r="AC1824" s="539"/>
      <c r="AD1824" s="539"/>
      <c r="AE1824" s="539"/>
      <c r="AF1824" s="539"/>
      <c r="AG1824" s="539"/>
    </row>
    <row r="1825" ht="15" customHeight="1" x14ac:dyDescent="0.25"/>
    <row r="1826" ht="15" customHeight="1" x14ac:dyDescent="0.25"/>
    <row r="1827" ht="15" customHeight="1" x14ac:dyDescent="0.25"/>
    <row r="1828" ht="15" customHeight="1" x14ac:dyDescent="0.25"/>
    <row r="1829" ht="15" customHeight="1" x14ac:dyDescent="0.25"/>
    <row r="1830" ht="15" customHeight="1" x14ac:dyDescent="0.25"/>
    <row r="1831" ht="15" customHeight="1" x14ac:dyDescent="0.25"/>
    <row r="1832" ht="15" customHeight="1" x14ac:dyDescent="0.25"/>
    <row r="1833" ht="15" customHeight="1" x14ac:dyDescent="0.25"/>
    <row r="1834" ht="15" customHeight="1" x14ac:dyDescent="0.25"/>
    <row r="1854" ht="15" customHeight="1" x14ac:dyDescent="0.25"/>
    <row r="1855" ht="15" customHeight="1" x14ac:dyDescent="0.25"/>
    <row r="1856" ht="15" customHeight="1" x14ac:dyDescent="0.25"/>
    <row r="1857" ht="15" customHeight="1" x14ac:dyDescent="0.25"/>
    <row r="1858" ht="15" customHeight="1" x14ac:dyDescent="0.25"/>
    <row r="1859" ht="15" customHeight="1" x14ac:dyDescent="0.25"/>
    <row r="1860" ht="15" customHeight="1" x14ac:dyDescent="0.25"/>
    <row r="1861" ht="15" customHeight="1" x14ac:dyDescent="0.25"/>
    <row r="1863" ht="15" customHeight="1" x14ac:dyDescent="0.25"/>
    <row r="1864" ht="15" customHeight="1" x14ac:dyDescent="0.25"/>
    <row r="1865" ht="15" customHeight="1" x14ac:dyDescent="0.25"/>
    <row r="1867" ht="15" customHeight="1" x14ac:dyDescent="0.25"/>
    <row r="1869" ht="15" customHeight="1" x14ac:dyDescent="0.25"/>
    <row r="1870" ht="15" customHeight="1" x14ac:dyDescent="0.25"/>
    <row r="1871" ht="15" customHeight="1" x14ac:dyDescent="0.25"/>
    <row r="1872" ht="15" customHeight="1" x14ac:dyDescent="0.25"/>
    <row r="1873" ht="15" customHeight="1" x14ac:dyDescent="0.25"/>
    <row r="1874" ht="15" customHeight="1" x14ac:dyDescent="0.25"/>
    <row r="1875" ht="15" customHeight="1" x14ac:dyDescent="0.25"/>
    <row r="1876" ht="15" customHeight="1" x14ac:dyDescent="0.25"/>
    <row r="1877" ht="15" customHeight="1" x14ac:dyDescent="0.25"/>
    <row r="1878" ht="15" customHeight="1" x14ac:dyDescent="0.25"/>
    <row r="1879" ht="15" customHeight="1" x14ac:dyDescent="0.25"/>
    <row r="1880" ht="15" customHeight="1" x14ac:dyDescent="0.25"/>
    <row r="1881" ht="15" customHeight="1" x14ac:dyDescent="0.25"/>
    <row r="1883" ht="15" customHeight="1" x14ac:dyDescent="0.25"/>
    <row r="1885" ht="15" customHeight="1" x14ac:dyDescent="0.25"/>
    <row r="1887" ht="15" customHeight="1" x14ac:dyDescent="0.25"/>
    <row r="1888" ht="15" customHeight="1" x14ac:dyDescent="0.25"/>
    <row r="1890" ht="15" customHeight="1" x14ac:dyDescent="0.25"/>
    <row r="1891" ht="15" customHeight="1" x14ac:dyDescent="0.25"/>
    <row r="1892" ht="15" customHeight="1" x14ac:dyDescent="0.25"/>
    <row r="1893" ht="15" customHeight="1" x14ac:dyDescent="0.25"/>
    <row r="1894" ht="15" customHeight="1" x14ac:dyDescent="0.25"/>
    <row r="1895" ht="15" customHeight="1" x14ac:dyDescent="0.25"/>
    <row r="1896" ht="15" customHeight="1" x14ac:dyDescent="0.25"/>
    <row r="1897" ht="15" customHeight="1" x14ac:dyDescent="0.25"/>
    <row r="1898" ht="15" customHeight="1" x14ac:dyDescent="0.25"/>
    <row r="1899" ht="15" customHeight="1" x14ac:dyDescent="0.25"/>
    <row r="1901" ht="15" customHeight="1" x14ac:dyDescent="0.25"/>
    <row r="1902" ht="15" customHeight="1" x14ac:dyDescent="0.25"/>
    <row r="1903" ht="15" customHeight="1" x14ac:dyDescent="0.25"/>
    <row r="1904" ht="15" customHeight="1" x14ac:dyDescent="0.25"/>
    <row r="1905" spans="2:33" ht="15" customHeight="1" x14ac:dyDescent="0.25"/>
    <row r="1906" spans="2:33" ht="15" customHeight="1" x14ac:dyDescent="0.25"/>
    <row r="1907" spans="2:33" ht="15" customHeight="1" x14ac:dyDescent="0.25"/>
    <row r="1908" spans="2:33" ht="15" customHeight="1" x14ac:dyDescent="0.25"/>
    <row r="1909" spans="2:33" ht="15" customHeight="1" x14ac:dyDescent="0.25"/>
    <row r="1910" spans="2:33" ht="15" customHeight="1" x14ac:dyDescent="0.25">
      <c r="B1910" s="539"/>
      <c r="C1910" s="539"/>
      <c r="D1910" s="539"/>
      <c r="E1910" s="539"/>
      <c r="F1910" s="539"/>
      <c r="G1910" s="539"/>
      <c r="H1910" s="539"/>
      <c r="I1910" s="539"/>
      <c r="J1910" s="539"/>
      <c r="K1910" s="539"/>
      <c r="L1910" s="539"/>
      <c r="M1910" s="539"/>
      <c r="N1910" s="539"/>
      <c r="O1910" s="539"/>
      <c r="P1910" s="539"/>
      <c r="Q1910" s="539"/>
      <c r="R1910" s="539"/>
      <c r="S1910" s="539"/>
      <c r="T1910" s="539"/>
      <c r="U1910" s="539"/>
      <c r="V1910" s="539"/>
      <c r="W1910" s="539"/>
      <c r="X1910" s="539"/>
      <c r="Y1910" s="539"/>
      <c r="Z1910" s="539"/>
      <c r="AA1910" s="539"/>
      <c r="AB1910" s="539"/>
      <c r="AC1910" s="539"/>
      <c r="AD1910" s="539"/>
      <c r="AE1910" s="539"/>
      <c r="AF1910" s="539"/>
      <c r="AG1910" s="539"/>
    </row>
    <row r="1911" spans="2:33" ht="15" customHeight="1" x14ac:dyDescent="0.25"/>
    <row r="1912" spans="2:33" ht="15" customHeight="1" x14ac:dyDescent="0.25"/>
    <row r="1913" spans="2:33" ht="15" customHeight="1" x14ac:dyDescent="0.25"/>
    <row r="1914" spans="2:33" ht="15" customHeight="1" x14ac:dyDescent="0.25"/>
    <row r="1915" spans="2:33" ht="15" customHeight="1" x14ac:dyDescent="0.25"/>
    <row r="1916" spans="2:33" ht="15" customHeight="1" x14ac:dyDescent="0.25"/>
    <row r="1917" spans="2:33" ht="15" customHeight="1" x14ac:dyDescent="0.25"/>
    <row r="1918" spans="2:33" ht="15" customHeight="1" x14ac:dyDescent="0.25"/>
    <row r="1919" spans="2:33" ht="15" customHeight="1" x14ac:dyDescent="0.25"/>
    <row r="1920" spans="2:33" ht="15" customHeight="1" x14ac:dyDescent="0.25"/>
    <row r="1921" ht="15" customHeight="1" x14ac:dyDescent="0.25"/>
    <row r="1922" ht="15" customHeight="1" x14ac:dyDescent="0.25"/>
    <row r="1923" ht="15" customHeight="1" x14ac:dyDescent="0.25"/>
    <row r="1924" ht="15" customHeight="1" x14ac:dyDescent="0.25"/>
    <row r="1925" ht="15" customHeight="1" x14ac:dyDescent="0.25"/>
    <row r="1926" ht="15" customHeight="1" x14ac:dyDescent="0.25"/>
    <row r="1927" ht="15" customHeight="1" x14ac:dyDescent="0.25"/>
    <row r="1928" ht="15" customHeight="1" x14ac:dyDescent="0.25"/>
    <row r="1929" ht="15" customHeight="1" x14ac:dyDescent="0.25"/>
    <row r="1930" ht="15" customHeight="1" x14ac:dyDescent="0.25"/>
    <row r="1931" ht="15" customHeight="1" x14ac:dyDescent="0.25"/>
    <row r="1932" ht="15" customHeight="1" x14ac:dyDescent="0.25"/>
    <row r="1979" ht="15" customHeight="1" x14ac:dyDescent="0.25"/>
    <row r="1980" ht="15" customHeight="1" x14ac:dyDescent="0.25"/>
    <row r="1981" ht="15" customHeight="1" x14ac:dyDescent="0.25"/>
    <row r="1982" ht="15" customHeight="1" x14ac:dyDescent="0.25"/>
    <row r="1983" ht="15" customHeight="1" x14ac:dyDescent="0.25"/>
    <row r="1984" ht="15" customHeight="1" x14ac:dyDescent="0.25"/>
    <row r="1986" ht="15" customHeight="1" x14ac:dyDescent="0.25"/>
    <row r="1987" ht="15" customHeight="1" x14ac:dyDescent="0.25"/>
    <row r="1989" ht="15" customHeight="1" x14ac:dyDescent="0.25"/>
    <row r="1990" ht="15" customHeight="1" x14ac:dyDescent="0.25"/>
    <row r="1991" ht="15" customHeight="1" x14ac:dyDescent="0.25"/>
    <row r="1992" ht="15" customHeight="1" x14ac:dyDescent="0.25"/>
    <row r="1993" ht="15" customHeight="1" x14ac:dyDescent="0.25"/>
    <row r="1994" ht="15" customHeight="1" x14ac:dyDescent="0.25"/>
    <row r="1995" ht="15" customHeight="1" x14ac:dyDescent="0.25"/>
    <row r="1996" ht="15" customHeight="1" x14ac:dyDescent="0.25"/>
    <row r="1997" ht="15" customHeight="1" x14ac:dyDescent="0.25"/>
    <row r="1998" ht="15" customHeight="1" x14ac:dyDescent="0.25"/>
    <row r="1999" ht="15" customHeight="1" x14ac:dyDescent="0.25"/>
    <row r="2000" ht="15" customHeight="1" x14ac:dyDescent="0.25"/>
    <row r="2001" ht="15" customHeight="1" x14ac:dyDescent="0.25"/>
    <row r="2003" ht="15" customHeight="1" x14ac:dyDescent="0.25"/>
    <row r="2004" ht="15" customHeight="1" x14ac:dyDescent="0.25"/>
    <row r="2005" ht="15" customHeight="1" x14ac:dyDescent="0.25"/>
    <row r="2006" ht="15" customHeight="1" x14ac:dyDescent="0.25"/>
    <row r="2007" ht="15" customHeight="1" x14ac:dyDescent="0.25"/>
    <row r="2008" ht="15" customHeight="1" x14ac:dyDescent="0.25"/>
    <row r="2010" ht="15" customHeight="1" x14ac:dyDescent="0.25"/>
    <row r="2012" ht="15" customHeight="1" x14ac:dyDescent="0.25"/>
    <row r="2013" ht="15" customHeight="1" x14ac:dyDescent="0.25"/>
    <row r="2015" ht="15" customHeight="1" x14ac:dyDescent="0.25"/>
    <row r="2016" ht="15" customHeight="1" x14ac:dyDescent="0.25"/>
    <row r="2017" spans="2:33" ht="15" customHeight="1" x14ac:dyDescent="0.25"/>
    <row r="2018" spans="2:33" ht="15" customHeight="1" x14ac:dyDescent="0.25"/>
    <row r="2019" spans="2:33" ht="15" customHeight="1" x14ac:dyDescent="0.25"/>
    <row r="2020" spans="2:33" ht="15" customHeight="1" x14ac:dyDescent="0.25"/>
    <row r="2021" spans="2:33" ht="15" customHeight="1" x14ac:dyDescent="0.25"/>
    <row r="2022" spans="2:33" ht="15" customHeight="1" x14ac:dyDescent="0.25"/>
    <row r="2023" spans="2:33" ht="15" customHeight="1" x14ac:dyDescent="0.25"/>
    <row r="2024" spans="2:33" ht="15" customHeight="1" x14ac:dyDescent="0.25"/>
    <row r="2025" spans="2:33" ht="15" customHeight="1" x14ac:dyDescent="0.25"/>
    <row r="2027" spans="2:33" ht="15" customHeight="1" x14ac:dyDescent="0.25"/>
    <row r="2030" spans="2:33" ht="15" customHeight="1" x14ac:dyDescent="0.25"/>
    <row r="2031" spans="2:33" ht="15" customHeight="1" x14ac:dyDescent="0.25"/>
    <row r="2032" spans="2:33" ht="15" customHeight="1" x14ac:dyDescent="0.25">
      <c r="B2032" s="539"/>
      <c r="C2032" s="539"/>
      <c r="D2032" s="539"/>
      <c r="E2032" s="539"/>
      <c r="F2032" s="539"/>
      <c r="G2032" s="539"/>
      <c r="H2032" s="539"/>
      <c r="I2032" s="539"/>
      <c r="J2032" s="539"/>
      <c r="K2032" s="539"/>
      <c r="L2032" s="539"/>
      <c r="M2032" s="539"/>
      <c r="N2032" s="539"/>
      <c r="O2032" s="539"/>
      <c r="P2032" s="539"/>
      <c r="Q2032" s="539"/>
      <c r="R2032" s="539"/>
      <c r="S2032" s="539"/>
      <c r="T2032" s="539"/>
      <c r="U2032" s="539"/>
      <c r="V2032" s="539"/>
      <c r="W2032" s="539"/>
      <c r="X2032" s="539"/>
      <c r="Y2032" s="539"/>
      <c r="Z2032" s="539"/>
      <c r="AA2032" s="539"/>
      <c r="AB2032" s="539"/>
      <c r="AC2032" s="539"/>
      <c r="AD2032" s="539"/>
      <c r="AE2032" s="539"/>
      <c r="AF2032" s="539"/>
      <c r="AG2032" s="539"/>
    </row>
    <row r="2033" ht="15" customHeight="1" x14ac:dyDescent="0.25"/>
    <row r="2034" ht="15" customHeight="1" x14ac:dyDescent="0.25"/>
    <row r="2035" ht="15" customHeight="1" x14ac:dyDescent="0.25"/>
    <row r="2036" ht="15" customHeight="1" x14ac:dyDescent="0.25"/>
    <row r="2037" ht="15" customHeight="1" x14ac:dyDescent="0.25"/>
    <row r="2038" ht="15" customHeight="1" x14ac:dyDescent="0.25"/>
    <row r="2039" ht="15" customHeight="1" x14ac:dyDescent="0.25"/>
    <row r="2040" ht="15" customHeight="1" x14ac:dyDescent="0.25"/>
    <row r="2041" ht="15" customHeight="1" x14ac:dyDescent="0.25"/>
    <row r="2129" ht="15" customHeight="1" x14ac:dyDescent="0.25"/>
    <row r="2130" ht="15" customHeight="1" x14ac:dyDescent="0.25"/>
    <row r="2131" ht="15" customHeight="1" x14ac:dyDescent="0.25"/>
    <row r="2132" ht="15" customHeight="1" x14ac:dyDescent="0.25"/>
    <row r="2133" ht="15" customHeight="1" x14ac:dyDescent="0.25"/>
    <row r="2134" ht="15" customHeight="1" x14ac:dyDescent="0.25"/>
    <row r="2135" ht="15" customHeight="1" x14ac:dyDescent="0.25"/>
    <row r="2136" ht="15" customHeight="1" x14ac:dyDescent="0.25"/>
    <row r="2137" ht="15" customHeight="1" x14ac:dyDescent="0.25"/>
    <row r="2139" ht="15" customHeight="1" x14ac:dyDescent="0.25"/>
    <row r="2140" ht="15" customHeight="1" x14ac:dyDescent="0.25"/>
    <row r="2141" ht="15" customHeight="1" x14ac:dyDescent="0.25"/>
    <row r="2143" ht="15" customHeight="1" x14ac:dyDescent="0.25"/>
    <row r="2145" ht="15" customHeight="1" x14ac:dyDescent="0.25"/>
    <row r="2146" ht="15" customHeight="1" x14ac:dyDescent="0.25"/>
    <row r="2147" ht="15" customHeight="1" x14ac:dyDescent="0.25"/>
    <row r="2148" ht="15" customHeight="1" x14ac:dyDescent="0.25"/>
    <row r="2150" ht="15" customHeight="1" x14ac:dyDescent="0.25"/>
    <row r="2152" ht="15" customHeight="1" x14ac:dyDescent="0.25"/>
    <row r="2153" ht="15" customHeight="1" x14ac:dyDescent="0.25"/>
    <row r="2154" ht="15" customHeight="1" x14ac:dyDescent="0.25"/>
    <row r="2155" ht="15" customHeight="1" x14ac:dyDescent="0.25"/>
    <row r="2156" ht="15" customHeight="1" x14ac:dyDescent="0.25"/>
    <row r="2157" ht="15" customHeight="1" x14ac:dyDescent="0.25"/>
    <row r="2158" ht="15" customHeight="1" x14ac:dyDescent="0.25"/>
    <row r="2159" ht="15" customHeight="1" x14ac:dyDescent="0.25"/>
    <row r="2161" ht="15" customHeight="1" x14ac:dyDescent="0.25"/>
    <row r="2163" ht="15" customHeight="1" x14ac:dyDescent="0.25"/>
    <row r="2164" ht="15" customHeight="1" x14ac:dyDescent="0.25"/>
    <row r="2165" ht="15" customHeight="1" x14ac:dyDescent="0.25"/>
    <row r="2167" ht="15" customHeight="1" x14ac:dyDescent="0.25"/>
    <row r="2168" ht="15" customHeight="1" x14ac:dyDescent="0.25"/>
    <row r="2169" ht="15" customHeight="1" x14ac:dyDescent="0.25"/>
    <row r="2170" ht="15" customHeight="1" x14ac:dyDescent="0.25"/>
    <row r="2171" ht="15" customHeight="1" x14ac:dyDescent="0.25"/>
    <row r="2172" ht="15" customHeight="1" x14ac:dyDescent="0.25"/>
    <row r="2173" ht="15" customHeight="1" x14ac:dyDescent="0.25"/>
    <row r="2174" ht="15" customHeight="1" x14ac:dyDescent="0.25"/>
    <row r="2175" ht="15" customHeight="1" x14ac:dyDescent="0.25"/>
    <row r="2176" ht="15" customHeight="1" x14ac:dyDescent="0.25"/>
    <row r="2177" ht="15" customHeight="1" x14ac:dyDescent="0.25"/>
    <row r="2180" ht="15" customHeight="1" x14ac:dyDescent="0.25"/>
    <row r="2181" ht="15" customHeight="1" x14ac:dyDescent="0.25"/>
    <row r="2182" ht="15" customHeight="1" x14ac:dyDescent="0.25"/>
    <row r="2184" ht="15" customHeight="1" x14ac:dyDescent="0.25"/>
    <row r="2185" ht="15" customHeight="1" x14ac:dyDescent="0.25"/>
    <row r="2186" ht="15" customHeight="1" x14ac:dyDescent="0.25"/>
    <row r="2187" ht="15" customHeight="1" x14ac:dyDescent="0.25"/>
    <row r="2188" ht="15" customHeight="1" x14ac:dyDescent="0.25"/>
    <row r="2189" ht="15" customHeight="1" x14ac:dyDescent="0.25"/>
    <row r="2190" ht="15" customHeight="1" x14ac:dyDescent="0.25"/>
    <row r="2191" ht="15" customHeight="1" x14ac:dyDescent="0.25"/>
    <row r="2192" ht="15" customHeight="1" x14ac:dyDescent="0.25"/>
    <row r="2193" spans="2:33" ht="15" customHeight="1" x14ac:dyDescent="0.25"/>
    <row r="2194" spans="2:33" ht="15" customHeight="1" x14ac:dyDescent="0.25"/>
    <row r="2195" spans="2:33" ht="15" customHeight="1" x14ac:dyDescent="0.25"/>
    <row r="2196" spans="2:33" ht="15" customHeight="1" x14ac:dyDescent="0.25">
      <c r="B2196" s="539"/>
      <c r="C2196" s="539"/>
      <c r="D2196" s="539"/>
      <c r="E2196" s="539"/>
      <c r="F2196" s="539"/>
      <c r="G2196" s="539"/>
      <c r="H2196" s="539"/>
      <c r="I2196" s="539"/>
      <c r="J2196" s="539"/>
      <c r="K2196" s="539"/>
      <c r="L2196" s="539"/>
      <c r="M2196" s="539"/>
      <c r="N2196" s="539"/>
      <c r="O2196" s="539"/>
      <c r="P2196" s="539"/>
      <c r="Q2196" s="539"/>
      <c r="R2196" s="539"/>
      <c r="S2196" s="539"/>
      <c r="T2196" s="539"/>
      <c r="U2196" s="539"/>
      <c r="V2196" s="539"/>
      <c r="W2196" s="539"/>
      <c r="X2196" s="539"/>
      <c r="Y2196" s="539"/>
      <c r="Z2196" s="539"/>
      <c r="AA2196" s="539"/>
      <c r="AB2196" s="539"/>
      <c r="AC2196" s="539"/>
      <c r="AD2196" s="539"/>
      <c r="AE2196" s="539"/>
      <c r="AF2196" s="539"/>
      <c r="AG2196" s="539"/>
    </row>
    <row r="2197" spans="2:33" ht="15" customHeight="1" x14ac:dyDescent="0.25"/>
    <row r="2198" spans="2:33" ht="15" customHeight="1" x14ac:dyDescent="0.25"/>
    <row r="2199" spans="2:33" ht="15" customHeight="1" x14ac:dyDescent="0.25"/>
    <row r="2200" spans="2:33" ht="15" customHeight="1" x14ac:dyDescent="0.25"/>
    <row r="2201" spans="2:33" ht="15" customHeight="1" x14ac:dyDescent="0.25"/>
    <row r="2202" spans="2:33" ht="15" customHeight="1" x14ac:dyDescent="0.25"/>
    <row r="2203" spans="2:33" ht="15" customHeight="1" x14ac:dyDescent="0.25"/>
    <row r="2204" spans="2:33" ht="15" customHeight="1" x14ac:dyDescent="0.25"/>
    <row r="2205" spans="2:33" ht="15" customHeight="1" x14ac:dyDescent="0.25"/>
    <row r="2206" spans="2:33" ht="15" customHeight="1" x14ac:dyDescent="0.25"/>
    <row r="2207" spans="2:33" ht="15" customHeight="1" x14ac:dyDescent="0.25"/>
    <row r="2208" spans="2:33" ht="15" customHeight="1" x14ac:dyDescent="0.25"/>
    <row r="2209" ht="15" customHeight="1" x14ac:dyDescent="0.25"/>
    <row r="2210" ht="15" customHeight="1" x14ac:dyDescent="0.25"/>
    <row r="2211" ht="15" customHeight="1" x14ac:dyDescent="0.25"/>
    <row r="2212" ht="15" customHeight="1" x14ac:dyDescent="0.25"/>
    <row r="2213" ht="15" customHeight="1" x14ac:dyDescent="0.25"/>
    <row r="2229" ht="15" customHeight="1" x14ac:dyDescent="0.25"/>
    <row r="2230" ht="15" customHeight="1" x14ac:dyDescent="0.25"/>
    <row r="2231" ht="15" customHeight="1" x14ac:dyDescent="0.25"/>
    <row r="2232" ht="15" customHeight="1" x14ac:dyDescent="0.25"/>
    <row r="2233" ht="15" customHeight="1" x14ac:dyDescent="0.25"/>
    <row r="2234" ht="15" customHeight="1" x14ac:dyDescent="0.25"/>
    <row r="2235" ht="15" customHeight="1" x14ac:dyDescent="0.25"/>
    <row r="2236" ht="15" customHeight="1" x14ac:dyDescent="0.25"/>
    <row r="2237" ht="15" customHeight="1" x14ac:dyDescent="0.25"/>
    <row r="2238" ht="15" customHeight="1" x14ac:dyDescent="0.25"/>
    <row r="2239" ht="15" customHeight="1" x14ac:dyDescent="0.25"/>
    <row r="2240" ht="15" customHeight="1" x14ac:dyDescent="0.25"/>
    <row r="2241" ht="15" customHeight="1" x14ac:dyDescent="0.25"/>
    <row r="2242" ht="15" customHeight="1" x14ac:dyDescent="0.25"/>
    <row r="2243" ht="15" customHeight="1" x14ac:dyDescent="0.25"/>
    <row r="2244" ht="15" customHeight="1" x14ac:dyDescent="0.25"/>
    <row r="2246" ht="15" customHeight="1" x14ac:dyDescent="0.25"/>
    <row r="2247" ht="15" customHeight="1" x14ac:dyDescent="0.25"/>
    <row r="2248" ht="15" customHeight="1" x14ac:dyDescent="0.25"/>
    <row r="2249" ht="15" customHeight="1" x14ac:dyDescent="0.25"/>
    <row r="2250" ht="15" customHeight="1" x14ac:dyDescent="0.25"/>
    <row r="2251" ht="15" customHeight="1" x14ac:dyDescent="0.25"/>
    <row r="2252" ht="15" customHeight="1" x14ac:dyDescent="0.25"/>
    <row r="2253" ht="15" customHeight="1" x14ac:dyDescent="0.25"/>
    <row r="2254" ht="15" customHeight="1" x14ac:dyDescent="0.25"/>
    <row r="2255" ht="15" customHeight="1" x14ac:dyDescent="0.25"/>
    <row r="2256" ht="15" customHeight="1" x14ac:dyDescent="0.25"/>
    <row r="2257" ht="15" customHeight="1" x14ac:dyDescent="0.25"/>
    <row r="2259" ht="15" customHeight="1" x14ac:dyDescent="0.25"/>
    <row r="2260" ht="15" customHeight="1" x14ac:dyDescent="0.25"/>
    <row r="2261" ht="15" customHeight="1" x14ac:dyDescent="0.25"/>
    <row r="2262" ht="15" customHeight="1" x14ac:dyDescent="0.25"/>
    <row r="2263" ht="15" customHeight="1" x14ac:dyDescent="0.25"/>
    <row r="2264" ht="15" customHeight="1" x14ac:dyDescent="0.25"/>
    <row r="2265" ht="15" customHeight="1" x14ac:dyDescent="0.25"/>
    <row r="2266" ht="15" customHeight="1" x14ac:dyDescent="0.25"/>
    <row r="2267" ht="15" customHeight="1" x14ac:dyDescent="0.25"/>
    <row r="2269" ht="15" customHeight="1" x14ac:dyDescent="0.25"/>
    <row r="2270" ht="15" customHeight="1" x14ac:dyDescent="0.25"/>
    <row r="2271" ht="15" customHeight="1" x14ac:dyDescent="0.25"/>
    <row r="2272" ht="15" customHeight="1" x14ac:dyDescent="0.25"/>
    <row r="2273" ht="15" customHeight="1" x14ac:dyDescent="0.25"/>
    <row r="2274" ht="15" customHeight="1" x14ac:dyDescent="0.25"/>
    <row r="2275" ht="15" customHeight="1" x14ac:dyDescent="0.25"/>
    <row r="2276" ht="15" customHeight="1" x14ac:dyDescent="0.25"/>
    <row r="2279" ht="15" customHeight="1" x14ac:dyDescent="0.25"/>
    <row r="2280" ht="15" customHeight="1" x14ac:dyDescent="0.25"/>
    <row r="2281" ht="15" customHeight="1" x14ac:dyDescent="0.25"/>
    <row r="2282" ht="15" customHeight="1" x14ac:dyDescent="0.25"/>
    <row r="2283" ht="15" customHeight="1" x14ac:dyDescent="0.25"/>
    <row r="2284" ht="15" customHeight="1" x14ac:dyDescent="0.25"/>
    <row r="2285" ht="15" customHeight="1" x14ac:dyDescent="0.25"/>
    <row r="2286" ht="15" customHeight="1" x14ac:dyDescent="0.25"/>
    <row r="2287" ht="15" customHeight="1" x14ac:dyDescent="0.25"/>
    <row r="2289" spans="2:33" ht="15" customHeight="1" x14ac:dyDescent="0.25"/>
    <row r="2290" spans="2:33" ht="15" customHeight="1" x14ac:dyDescent="0.25"/>
    <row r="2291" spans="2:33" ht="15" customHeight="1" x14ac:dyDescent="0.25"/>
    <row r="2292" spans="2:33" ht="15" customHeight="1" x14ac:dyDescent="0.25"/>
    <row r="2293" spans="2:33" ht="15" customHeight="1" x14ac:dyDescent="0.25"/>
    <row r="2294" spans="2:33" ht="15" customHeight="1" x14ac:dyDescent="0.25"/>
    <row r="2295" spans="2:33" ht="15" customHeight="1" x14ac:dyDescent="0.25"/>
    <row r="2296" spans="2:33" ht="15" customHeight="1" x14ac:dyDescent="0.25"/>
    <row r="2297" spans="2:33" ht="15" customHeight="1" x14ac:dyDescent="0.25"/>
    <row r="2298" spans="2:33" ht="15" customHeight="1" x14ac:dyDescent="0.25">
      <c r="B2298" s="539"/>
      <c r="C2298" s="539"/>
      <c r="D2298" s="539"/>
      <c r="E2298" s="539"/>
      <c r="F2298" s="539"/>
      <c r="G2298" s="539"/>
      <c r="H2298" s="539"/>
      <c r="I2298" s="539"/>
      <c r="J2298" s="539"/>
      <c r="K2298" s="539"/>
      <c r="L2298" s="539"/>
      <c r="M2298" s="539"/>
      <c r="N2298" s="539"/>
      <c r="O2298" s="539"/>
      <c r="P2298" s="539"/>
      <c r="Q2298" s="539"/>
      <c r="R2298" s="539"/>
      <c r="S2298" s="539"/>
      <c r="T2298" s="539"/>
      <c r="U2298" s="539"/>
      <c r="V2298" s="539"/>
      <c r="W2298" s="539"/>
      <c r="X2298" s="539"/>
      <c r="Y2298" s="539"/>
      <c r="Z2298" s="539"/>
      <c r="AA2298" s="539"/>
      <c r="AB2298" s="539"/>
      <c r="AC2298" s="539"/>
      <c r="AD2298" s="539"/>
      <c r="AE2298" s="539"/>
      <c r="AF2298" s="539"/>
      <c r="AG2298" s="539"/>
    </row>
    <row r="2299" spans="2:33" ht="15" customHeight="1" x14ac:dyDescent="0.25"/>
    <row r="2300" spans="2:33" ht="15" customHeight="1" x14ac:dyDescent="0.25"/>
    <row r="2301" spans="2:33" ht="15" customHeight="1" x14ac:dyDescent="0.25"/>
    <row r="2302" spans="2:33" ht="15" customHeight="1" x14ac:dyDescent="0.25"/>
    <row r="2303" spans="2:33" ht="15" customHeight="1" x14ac:dyDescent="0.25"/>
    <row r="2304" spans="2:33" ht="15" customHeight="1" x14ac:dyDescent="0.25"/>
    <row r="2305" ht="15" customHeight="1" x14ac:dyDescent="0.25"/>
    <row r="2306" ht="15" customHeight="1" x14ac:dyDescent="0.25"/>
    <row r="2307" ht="15" customHeight="1" x14ac:dyDescent="0.25"/>
    <row r="2308" ht="15" customHeight="1" x14ac:dyDescent="0.25"/>
    <row r="2309" ht="15" customHeight="1" x14ac:dyDescent="0.25"/>
    <row r="2310" ht="15" customHeight="1" x14ac:dyDescent="0.25"/>
    <row r="2311" ht="15" customHeight="1" x14ac:dyDescent="0.25"/>
    <row r="2312" ht="15" customHeight="1" x14ac:dyDescent="0.25"/>
    <row r="2313" ht="15" customHeight="1" x14ac:dyDescent="0.25"/>
    <row r="2314" ht="15" customHeight="1" x14ac:dyDescent="0.25"/>
    <row r="2315" ht="15" customHeight="1" x14ac:dyDescent="0.25"/>
    <row r="2316" ht="15" customHeight="1" x14ac:dyDescent="0.25"/>
    <row r="2329" ht="15" customHeight="1" x14ac:dyDescent="0.25"/>
    <row r="2330" ht="15" customHeight="1" x14ac:dyDescent="0.25"/>
    <row r="2331" ht="15" customHeight="1" x14ac:dyDescent="0.25"/>
    <row r="2332" ht="15" customHeight="1" x14ac:dyDescent="0.25"/>
    <row r="2333" ht="15" customHeight="1" x14ac:dyDescent="0.25"/>
    <row r="2334" ht="15" customHeight="1" x14ac:dyDescent="0.25"/>
    <row r="2336" ht="15" customHeight="1" x14ac:dyDescent="0.25"/>
    <row r="2338" ht="15" customHeight="1" x14ac:dyDescent="0.25"/>
    <row r="2340" ht="15" customHeight="1" x14ac:dyDescent="0.25"/>
    <row r="2341" ht="15" customHeight="1" x14ac:dyDescent="0.25"/>
    <row r="2342" ht="15" customHeight="1" x14ac:dyDescent="0.25"/>
    <row r="2343" ht="15" customHeight="1" x14ac:dyDescent="0.25"/>
    <row r="2344" ht="15" customHeight="1" x14ac:dyDescent="0.25"/>
    <row r="2346" ht="15" customHeight="1" x14ac:dyDescent="0.25"/>
    <row r="2347" ht="15" customHeight="1" x14ac:dyDescent="0.25"/>
    <row r="2348" ht="15" customHeight="1" x14ac:dyDescent="0.25"/>
    <row r="2349" ht="15" customHeight="1" x14ac:dyDescent="0.25"/>
    <row r="2350" ht="15" customHeight="1" x14ac:dyDescent="0.25"/>
    <row r="2351" ht="15" customHeight="1" x14ac:dyDescent="0.25"/>
    <row r="2352" ht="15" customHeight="1" x14ac:dyDescent="0.25"/>
    <row r="2354" ht="15" customHeight="1" x14ac:dyDescent="0.25"/>
    <row r="2355" ht="15" customHeight="1" x14ac:dyDescent="0.25"/>
    <row r="2356" ht="15" customHeight="1" x14ac:dyDescent="0.25"/>
    <row r="2357" ht="15" customHeight="1" x14ac:dyDescent="0.25"/>
    <row r="2358" ht="15" customHeight="1" x14ac:dyDescent="0.25"/>
    <row r="2359" ht="15" customHeight="1" x14ac:dyDescent="0.25"/>
    <row r="2360" ht="15" customHeight="1" x14ac:dyDescent="0.25"/>
    <row r="2361" ht="15" customHeight="1" x14ac:dyDescent="0.25"/>
    <row r="2362" ht="15" customHeight="1" x14ac:dyDescent="0.25"/>
    <row r="2363" ht="15" customHeight="1" x14ac:dyDescent="0.25"/>
    <row r="2365" ht="15" customHeight="1" x14ac:dyDescent="0.25"/>
    <row r="2367" ht="15" customHeight="1" x14ac:dyDescent="0.25"/>
    <row r="2368" ht="15" customHeight="1" x14ac:dyDescent="0.25"/>
    <row r="2369" ht="15" customHeight="1" x14ac:dyDescent="0.25"/>
    <row r="2370" ht="15" customHeight="1" x14ac:dyDescent="0.25"/>
    <row r="2371" ht="15" customHeight="1" x14ac:dyDescent="0.25"/>
    <row r="2374" ht="15" customHeight="1" x14ac:dyDescent="0.25"/>
    <row r="2375" ht="15" customHeight="1" x14ac:dyDescent="0.25"/>
    <row r="2377" ht="15" customHeight="1" x14ac:dyDescent="0.25"/>
    <row r="2378" ht="15" customHeight="1" x14ac:dyDescent="0.25"/>
    <row r="2379" ht="15" customHeight="1" x14ac:dyDescent="0.25"/>
    <row r="2380" ht="15" customHeight="1" x14ac:dyDescent="0.25"/>
    <row r="2381" ht="15" customHeight="1" x14ac:dyDescent="0.25"/>
    <row r="2383" ht="15" customHeight="1" x14ac:dyDescent="0.25"/>
    <row r="2384" ht="15" customHeight="1" x14ac:dyDescent="0.25"/>
    <row r="2385" spans="2:33" ht="15" customHeight="1" x14ac:dyDescent="0.25"/>
    <row r="2386" spans="2:33" ht="15" customHeight="1" x14ac:dyDescent="0.25"/>
    <row r="2387" spans="2:33" ht="15" customHeight="1" x14ac:dyDescent="0.25"/>
    <row r="2388" spans="2:33" ht="15" customHeight="1" x14ac:dyDescent="0.25">
      <c r="B2388" s="539"/>
      <c r="C2388" s="539"/>
      <c r="D2388" s="539"/>
      <c r="E2388" s="539"/>
      <c r="F2388" s="539"/>
      <c r="G2388" s="539"/>
      <c r="H2388" s="539"/>
      <c r="I2388" s="539"/>
      <c r="J2388" s="539"/>
      <c r="K2388" s="539"/>
      <c r="L2388" s="539"/>
      <c r="M2388" s="539"/>
      <c r="N2388" s="539"/>
      <c r="O2388" s="539"/>
      <c r="P2388" s="539"/>
      <c r="Q2388" s="539"/>
      <c r="R2388" s="539"/>
      <c r="S2388" s="539"/>
      <c r="T2388" s="539"/>
      <c r="U2388" s="539"/>
      <c r="V2388" s="539"/>
      <c r="W2388" s="539"/>
      <c r="X2388" s="539"/>
      <c r="Y2388" s="539"/>
      <c r="Z2388" s="539"/>
      <c r="AA2388" s="539"/>
      <c r="AB2388" s="539"/>
      <c r="AC2388" s="539"/>
      <c r="AD2388" s="539"/>
      <c r="AE2388" s="539"/>
      <c r="AF2388" s="539"/>
      <c r="AG2388" s="539"/>
    </row>
    <row r="2389" spans="2:33" ht="15" customHeight="1" x14ac:dyDescent="0.25"/>
    <row r="2390" spans="2:33" ht="15" customHeight="1" x14ac:dyDescent="0.25"/>
    <row r="2391" spans="2:33" ht="15" customHeight="1" x14ac:dyDescent="0.25"/>
    <row r="2392" spans="2:33" ht="15" customHeight="1" x14ac:dyDescent="0.25"/>
    <row r="2393" spans="2:33" ht="15" customHeight="1" x14ac:dyDescent="0.25"/>
    <row r="2394" spans="2:33" ht="15" customHeight="1" x14ac:dyDescent="0.25"/>
    <row r="2395" spans="2:33" ht="15" customHeight="1" x14ac:dyDescent="0.25"/>
    <row r="2396" spans="2:33" ht="15" customHeight="1" x14ac:dyDescent="0.25"/>
    <row r="2397" spans="2:33" ht="15" customHeight="1" x14ac:dyDescent="0.25"/>
    <row r="2398" spans="2:33" ht="15" customHeight="1" x14ac:dyDescent="0.25"/>
    <row r="2399" spans="2:33" ht="15" customHeight="1" x14ac:dyDescent="0.25"/>
    <row r="2400" spans="2:33" ht="15" customHeight="1" x14ac:dyDescent="0.25"/>
    <row r="2401" ht="15" customHeight="1" x14ac:dyDescent="0.25"/>
    <row r="2402" ht="15" customHeight="1" x14ac:dyDescent="0.25"/>
    <row r="2403" ht="15" customHeight="1" x14ac:dyDescent="0.25"/>
    <row r="2404" ht="15" customHeight="1" x14ac:dyDescent="0.25"/>
    <row r="2405" ht="15" customHeight="1" x14ac:dyDescent="0.25"/>
    <row r="2406" ht="15" customHeight="1" x14ac:dyDescent="0.25"/>
    <row r="2407" ht="15" customHeight="1" x14ac:dyDescent="0.25"/>
    <row r="2408" ht="15" customHeight="1" x14ac:dyDescent="0.25"/>
    <row r="2429" ht="15" customHeight="1" x14ac:dyDescent="0.25"/>
    <row r="2430" ht="15" customHeight="1" x14ac:dyDescent="0.25"/>
    <row r="2431" ht="15" customHeight="1" x14ac:dyDescent="0.25"/>
    <row r="2432" ht="15" customHeight="1" x14ac:dyDescent="0.25"/>
    <row r="2433" ht="15" customHeight="1" x14ac:dyDescent="0.25"/>
    <row r="2434" ht="15" customHeight="1" x14ac:dyDescent="0.25"/>
    <row r="2435" ht="15" customHeight="1" x14ac:dyDescent="0.25"/>
    <row r="2436" ht="15" customHeight="1" x14ac:dyDescent="0.25"/>
    <row r="2437" ht="15" customHeight="1" x14ac:dyDescent="0.25"/>
    <row r="2438" ht="15" customHeight="1" x14ac:dyDescent="0.25"/>
    <row r="2440" ht="15" customHeight="1" x14ac:dyDescent="0.25"/>
    <row r="2441" ht="15" customHeight="1" x14ac:dyDescent="0.25"/>
    <row r="2442" ht="15" customHeight="1" x14ac:dyDescent="0.25"/>
    <row r="2443" ht="15" customHeight="1" x14ac:dyDescent="0.25"/>
    <row r="2444" ht="15" customHeight="1" x14ac:dyDescent="0.25"/>
    <row r="2445" ht="15" customHeight="1" x14ac:dyDescent="0.25"/>
    <row r="2447" ht="15" customHeight="1" x14ac:dyDescent="0.25"/>
    <row r="2448" ht="15" customHeight="1" x14ac:dyDescent="0.25"/>
    <row r="2449" ht="15" customHeight="1" x14ac:dyDescent="0.25"/>
    <row r="2450" ht="15" customHeight="1" x14ac:dyDescent="0.25"/>
    <row r="2451" ht="15" customHeight="1" x14ac:dyDescent="0.25"/>
    <row r="2452" ht="15" customHeight="1" x14ac:dyDescent="0.25"/>
    <row r="2454" ht="15" customHeight="1" x14ac:dyDescent="0.25"/>
    <row r="2455" ht="15" customHeight="1" x14ac:dyDescent="0.25"/>
    <row r="2456" ht="15" customHeight="1" x14ac:dyDescent="0.25"/>
    <row r="2457" ht="15" customHeight="1" x14ac:dyDescent="0.25"/>
    <row r="2458" ht="15" customHeight="1" x14ac:dyDescent="0.25"/>
    <row r="2460" ht="15" customHeight="1" x14ac:dyDescent="0.25"/>
    <row r="2461" ht="15" customHeight="1" x14ac:dyDescent="0.25"/>
    <row r="2462" ht="15" customHeight="1" x14ac:dyDescent="0.25"/>
    <row r="2463" ht="15" customHeight="1" x14ac:dyDescent="0.25"/>
    <row r="2464" ht="15" customHeight="1" x14ac:dyDescent="0.25"/>
    <row r="2465" spans="2:33" ht="15" customHeight="1" x14ac:dyDescent="0.25"/>
    <row r="2467" spans="2:33" ht="15" customHeight="1" x14ac:dyDescent="0.25"/>
    <row r="2468" spans="2:33" ht="15" customHeight="1" x14ac:dyDescent="0.25"/>
    <row r="2469" spans="2:33" ht="15" customHeight="1" x14ac:dyDescent="0.25"/>
    <row r="2470" spans="2:33" ht="15" customHeight="1" x14ac:dyDescent="0.25"/>
    <row r="2471" spans="2:33" ht="15" customHeight="1" x14ac:dyDescent="0.25"/>
    <row r="2472" spans="2:33" ht="15" customHeight="1" x14ac:dyDescent="0.25"/>
    <row r="2474" spans="2:33" ht="15" customHeight="1" x14ac:dyDescent="0.25"/>
    <row r="2475" spans="2:33" ht="15" customHeight="1" x14ac:dyDescent="0.25"/>
    <row r="2476" spans="2:33" ht="15" customHeight="1" x14ac:dyDescent="0.25"/>
    <row r="2477" spans="2:33" ht="15" customHeight="1" x14ac:dyDescent="0.25">
      <c r="B2477" s="539"/>
      <c r="C2477" s="539"/>
      <c r="D2477" s="539"/>
      <c r="E2477" s="539"/>
      <c r="F2477" s="539"/>
      <c r="G2477" s="539"/>
      <c r="H2477" s="539"/>
      <c r="I2477" s="539"/>
      <c r="J2477" s="539"/>
      <c r="K2477" s="539"/>
      <c r="L2477" s="539"/>
      <c r="M2477" s="539"/>
      <c r="N2477" s="539"/>
      <c r="O2477" s="539"/>
      <c r="P2477" s="539"/>
      <c r="Q2477" s="539"/>
      <c r="R2477" s="539"/>
      <c r="S2477" s="539"/>
      <c r="T2477" s="539"/>
      <c r="U2477" s="539"/>
      <c r="V2477" s="539"/>
      <c r="W2477" s="539"/>
      <c r="X2477" s="539"/>
      <c r="Y2477" s="539"/>
      <c r="Z2477" s="539"/>
      <c r="AA2477" s="539"/>
      <c r="AB2477" s="539"/>
      <c r="AC2477" s="539"/>
      <c r="AD2477" s="539"/>
      <c r="AE2477" s="539"/>
      <c r="AF2477" s="539"/>
      <c r="AG2477" s="539"/>
    </row>
    <row r="2478" spans="2:33" ht="15" customHeight="1" x14ac:dyDescent="0.25"/>
    <row r="2479" spans="2:33" ht="15" customHeight="1" x14ac:dyDescent="0.25"/>
    <row r="2480" spans="2:33" ht="15" customHeight="1" x14ac:dyDescent="0.25"/>
    <row r="2481" ht="15" customHeight="1" x14ac:dyDescent="0.25"/>
    <row r="2482" ht="15" customHeight="1" x14ac:dyDescent="0.25"/>
    <row r="2483" ht="15" customHeight="1" x14ac:dyDescent="0.25"/>
    <row r="2484" ht="15" customHeight="1" x14ac:dyDescent="0.25"/>
    <row r="2485" ht="15" customHeight="1" x14ac:dyDescent="0.25"/>
    <row r="2486" ht="15" customHeight="1" x14ac:dyDescent="0.25"/>
    <row r="2487" ht="15" customHeight="1" x14ac:dyDescent="0.25"/>
    <row r="2488" ht="15" customHeight="1" x14ac:dyDescent="0.25"/>
    <row r="2489" ht="15" customHeight="1" x14ac:dyDescent="0.25"/>
    <row r="2490" ht="15" customHeight="1" x14ac:dyDescent="0.25"/>
    <row r="2491" ht="15" customHeight="1" x14ac:dyDescent="0.25"/>
    <row r="2492" ht="15" customHeight="1" x14ac:dyDescent="0.25"/>
    <row r="2493" ht="15" customHeight="1" x14ac:dyDescent="0.25"/>
    <row r="2494" ht="15" customHeight="1" x14ac:dyDescent="0.25"/>
    <row r="2504" ht="15" customHeight="1" x14ac:dyDescent="0.25"/>
    <row r="2505" ht="15" customHeight="1" x14ac:dyDescent="0.25"/>
    <row r="2506" ht="15" customHeight="1" x14ac:dyDescent="0.25"/>
    <row r="2507" ht="15" customHeight="1" x14ac:dyDescent="0.25"/>
    <row r="2508" ht="15" customHeight="1" x14ac:dyDescent="0.25"/>
    <row r="2509" ht="15" customHeight="1" x14ac:dyDescent="0.25"/>
    <row r="2510" ht="15" customHeight="1" x14ac:dyDescent="0.25"/>
    <row r="2511" ht="15" customHeight="1" x14ac:dyDescent="0.25"/>
    <row r="2512" ht="15" customHeight="1" x14ac:dyDescent="0.25"/>
    <row r="2513" ht="15" customHeight="1" x14ac:dyDescent="0.25"/>
    <row r="2514" ht="15" customHeight="1" x14ac:dyDescent="0.25"/>
    <row r="2515" ht="15" customHeight="1" x14ac:dyDescent="0.25"/>
    <row r="2516" ht="15" customHeight="1" x14ac:dyDescent="0.25"/>
    <row r="2517" ht="15" customHeight="1" x14ac:dyDescent="0.25"/>
    <row r="2518" ht="15" customHeight="1" x14ac:dyDescent="0.25"/>
    <row r="2519" ht="15" customHeight="1" x14ac:dyDescent="0.25"/>
    <row r="2520" ht="15" customHeight="1" x14ac:dyDescent="0.25"/>
    <row r="2521" ht="15" customHeight="1" x14ac:dyDescent="0.25"/>
    <row r="2522" ht="15" customHeight="1" x14ac:dyDescent="0.25"/>
    <row r="2523" ht="15" customHeight="1" x14ac:dyDescent="0.25"/>
    <row r="2524" ht="15" customHeight="1" x14ac:dyDescent="0.25"/>
    <row r="2525" ht="15" customHeight="1" x14ac:dyDescent="0.25"/>
    <row r="2527" ht="15" customHeight="1" x14ac:dyDescent="0.25"/>
    <row r="2528" ht="15" customHeight="1" x14ac:dyDescent="0.25"/>
    <row r="2529" ht="15" customHeight="1" x14ac:dyDescent="0.25"/>
    <row r="2530" ht="15" customHeight="1" x14ac:dyDescent="0.25"/>
    <row r="2531" ht="15" customHeight="1" x14ac:dyDescent="0.25"/>
    <row r="2532" ht="15" customHeight="1" x14ac:dyDescent="0.25"/>
    <row r="2533" ht="15" customHeight="1" x14ac:dyDescent="0.25"/>
    <row r="2534" ht="15" customHeight="1" x14ac:dyDescent="0.25"/>
    <row r="2535" ht="15" customHeight="1" x14ac:dyDescent="0.25"/>
    <row r="2536" ht="15" customHeight="1" x14ac:dyDescent="0.25"/>
    <row r="2537" ht="15" customHeight="1" x14ac:dyDescent="0.25"/>
    <row r="2538" ht="15" customHeight="1" x14ac:dyDescent="0.25"/>
    <row r="2541" ht="15" customHeight="1" x14ac:dyDescent="0.25"/>
    <row r="2542" ht="15" customHeight="1" x14ac:dyDescent="0.25"/>
    <row r="2543" ht="15" customHeight="1" x14ac:dyDescent="0.25"/>
    <row r="2544" ht="15" customHeight="1" x14ac:dyDescent="0.25"/>
    <row r="2545" ht="15" customHeight="1" x14ac:dyDescent="0.25"/>
    <row r="2546" ht="15" customHeight="1" x14ac:dyDescent="0.25"/>
    <row r="2547" ht="15" customHeight="1" x14ac:dyDescent="0.25"/>
    <row r="2548" ht="15" customHeight="1" x14ac:dyDescent="0.25"/>
    <row r="2549" ht="15" customHeight="1" x14ac:dyDescent="0.25"/>
    <row r="2550" ht="15" customHeight="1" x14ac:dyDescent="0.25"/>
    <row r="2551" ht="15" customHeight="1" x14ac:dyDescent="0.25"/>
    <row r="2552" ht="15" customHeight="1" x14ac:dyDescent="0.25"/>
    <row r="2553" ht="15" customHeight="1" x14ac:dyDescent="0.25"/>
    <row r="2554" ht="15" customHeight="1" x14ac:dyDescent="0.25"/>
    <row r="2555" ht="15" customHeight="1" x14ac:dyDescent="0.25"/>
    <row r="2556" ht="15" customHeight="1" x14ac:dyDescent="0.25"/>
    <row r="2557" ht="15" customHeight="1" x14ac:dyDescent="0.25"/>
    <row r="2558" ht="15" customHeight="1" x14ac:dyDescent="0.25"/>
    <row r="2559" ht="15" customHeight="1" x14ac:dyDescent="0.25"/>
    <row r="2560" ht="15" customHeight="1" x14ac:dyDescent="0.25"/>
    <row r="2561" ht="15" customHeight="1" x14ac:dyDescent="0.25"/>
    <row r="2562" ht="15" customHeight="1" x14ac:dyDescent="0.25"/>
    <row r="2563" ht="15" customHeight="1" x14ac:dyDescent="0.25"/>
    <row r="2564" ht="15" customHeight="1" x14ac:dyDescent="0.25"/>
    <row r="2565" ht="15" customHeight="1" x14ac:dyDescent="0.25"/>
    <row r="2566" ht="15" customHeight="1" x14ac:dyDescent="0.25"/>
    <row r="2568" ht="15" customHeight="1" x14ac:dyDescent="0.25"/>
    <row r="2569" ht="15" customHeight="1" x14ac:dyDescent="0.25"/>
    <row r="2570" ht="15" customHeight="1" x14ac:dyDescent="0.25"/>
    <row r="2571" ht="15" customHeight="1" x14ac:dyDescent="0.25"/>
    <row r="2572" ht="15" customHeight="1" x14ac:dyDescent="0.25"/>
    <row r="2573" ht="15" customHeight="1" x14ac:dyDescent="0.25"/>
    <row r="2574" ht="15" customHeight="1" x14ac:dyDescent="0.25"/>
    <row r="2575" ht="15" customHeight="1" x14ac:dyDescent="0.25"/>
    <row r="2576" ht="15" customHeight="1" x14ac:dyDescent="0.25"/>
    <row r="2577" ht="15" customHeight="1" x14ac:dyDescent="0.25"/>
    <row r="2578" ht="15" customHeight="1" x14ac:dyDescent="0.25"/>
    <row r="2579" ht="15" customHeight="1" x14ac:dyDescent="0.25"/>
    <row r="2580" ht="15" customHeight="1" x14ac:dyDescent="0.25"/>
    <row r="2581" ht="15" customHeight="1" x14ac:dyDescent="0.25"/>
    <row r="2582" ht="15" customHeight="1" x14ac:dyDescent="0.25"/>
    <row r="2583" ht="15" customHeight="1" x14ac:dyDescent="0.25"/>
    <row r="2586" ht="15" customHeight="1" x14ac:dyDescent="0.25"/>
    <row r="2587" ht="15" customHeight="1" x14ac:dyDescent="0.25"/>
    <row r="2588" ht="15" customHeight="1" x14ac:dyDescent="0.25"/>
    <row r="2589" ht="15" customHeight="1" x14ac:dyDescent="0.25"/>
    <row r="2590" ht="15" customHeight="1" x14ac:dyDescent="0.25"/>
    <row r="2591" ht="15" customHeight="1" x14ac:dyDescent="0.25"/>
    <row r="2592" ht="15" customHeight="1" x14ac:dyDescent="0.25"/>
    <row r="2593" spans="2:33" ht="15" customHeight="1" x14ac:dyDescent="0.25"/>
    <row r="2594" spans="2:33" ht="15" customHeight="1" x14ac:dyDescent="0.25"/>
    <row r="2595" spans="2:33" ht="15" customHeight="1" x14ac:dyDescent="0.25"/>
    <row r="2596" spans="2:33" ht="15" customHeight="1" x14ac:dyDescent="0.25"/>
    <row r="2597" spans="2:33" ht="15" customHeight="1" x14ac:dyDescent="0.25"/>
    <row r="2598" spans="2:33" ht="15" customHeight="1" x14ac:dyDescent="0.25">
      <c r="B2598" s="539"/>
      <c r="C2598" s="539"/>
      <c r="D2598" s="539"/>
      <c r="E2598" s="539"/>
      <c r="F2598" s="539"/>
      <c r="G2598" s="539"/>
      <c r="H2598" s="539"/>
      <c r="I2598" s="539"/>
      <c r="J2598" s="539"/>
      <c r="K2598" s="539"/>
      <c r="L2598" s="539"/>
      <c r="M2598" s="539"/>
      <c r="N2598" s="539"/>
      <c r="O2598" s="539"/>
      <c r="P2598" s="539"/>
      <c r="Q2598" s="539"/>
      <c r="R2598" s="539"/>
      <c r="S2598" s="539"/>
      <c r="T2598" s="539"/>
      <c r="U2598" s="539"/>
      <c r="V2598" s="539"/>
      <c r="W2598" s="539"/>
      <c r="X2598" s="539"/>
      <c r="Y2598" s="539"/>
      <c r="Z2598" s="539"/>
      <c r="AA2598" s="539"/>
      <c r="AB2598" s="539"/>
      <c r="AC2598" s="539"/>
      <c r="AD2598" s="539"/>
      <c r="AE2598" s="539"/>
      <c r="AF2598" s="539"/>
      <c r="AG2598" s="539"/>
    </row>
    <row r="2599" spans="2:33" ht="15" customHeight="1" x14ac:dyDescent="0.25"/>
    <row r="2600" spans="2:33" ht="15" customHeight="1" x14ac:dyDescent="0.25"/>
    <row r="2601" spans="2:33" ht="15" customHeight="1" x14ac:dyDescent="0.25"/>
    <row r="2602" spans="2:33" ht="15" customHeight="1" x14ac:dyDescent="0.25"/>
    <row r="2603" spans="2:33" ht="15" customHeight="1" x14ac:dyDescent="0.25"/>
    <row r="2604" spans="2:33" ht="15" customHeight="1" x14ac:dyDescent="0.25"/>
    <row r="2605" spans="2:33" ht="15" customHeight="1" x14ac:dyDescent="0.25"/>
    <row r="2606" spans="2:33" ht="15" customHeight="1" x14ac:dyDescent="0.25"/>
    <row r="2607" spans="2:33" ht="15" customHeight="1" x14ac:dyDescent="0.25"/>
    <row r="2608" spans="2:33" ht="15" customHeight="1" x14ac:dyDescent="0.25"/>
    <row r="2609" ht="15" customHeight="1" x14ac:dyDescent="0.25"/>
    <row r="2610" ht="15" customHeight="1" x14ac:dyDescent="0.25"/>
    <row r="2611" ht="15" customHeight="1" x14ac:dyDescent="0.25"/>
    <row r="2612" ht="15" customHeight="1" x14ac:dyDescent="0.25"/>
    <row r="2613" ht="15" customHeight="1" x14ac:dyDescent="0.25"/>
    <row r="2614" ht="15" customHeight="1" x14ac:dyDescent="0.25"/>
    <row r="2615" ht="15" customHeight="1" x14ac:dyDescent="0.25"/>
    <row r="2616" ht="15" customHeight="1" x14ac:dyDescent="0.25"/>
    <row r="2617" ht="15" customHeight="1" x14ac:dyDescent="0.25"/>
    <row r="2618" ht="15" customHeight="1" x14ac:dyDescent="0.25"/>
    <row r="2619" ht="15" customHeight="1" x14ac:dyDescent="0.25"/>
    <row r="2620" ht="15" customHeight="1" x14ac:dyDescent="0.25"/>
    <row r="2621" ht="15" customHeight="1" x14ac:dyDescent="0.25"/>
    <row r="2622"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7" ht="15" customHeight="1" x14ac:dyDescent="0.25"/>
    <row r="2668" ht="15" customHeight="1" x14ac:dyDescent="0.25"/>
    <row r="2669" ht="15" customHeight="1" x14ac:dyDescent="0.25"/>
    <row r="2670"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3" ht="15" customHeight="1" x14ac:dyDescent="0.25"/>
    <row r="2684" ht="15" customHeight="1" x14ac:dyDescent="0.25"/>
    <row r="2685" ht="15" customHeight="1" x14ac:dyDescent="0.25"/>
    <row r="2686"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4" ht="15" customHeight="1" x14ac:dyDescent="0.25"/>
    <row r="2705" spans="2:33" ht="15" customHeight="1" x14ac:dyDescent="0.25"/>
    <row r="2706" spans="2:33" ht="15" customHeight="1" x14ac:dyDescent="0.25"/>
    <row r="2707" spans="2:33" ht="15" customHeight="1" x14ac:dyDescent="0.25"/>
    <row r="2710" spans="2:33" ht="15" customHeight="1" x14ac:dyDescent="0.25"/>
    <row r="2711" spans="2:33" ht="15" customHeight="1" x14ac:dyDescent="0.25"/>
    <row r="2712" spans="2:33" ht="15" customHeight="1" x14ac:dyDescent="0.25"/>
    <row r="2713" spans="2:33" ht="15" customHeight="1" x14ac:dyDescent="0.25"/>
    <row r="2714" spans="2:33" ht="15" customHeight="1" x14ac:dyDescent="0.25"/>
    <row r="2715" spans="2:33" ht="15" customHeight="1" x14ac:dyDescent="0.25"/>
    <row r="2716" spans="2:33" ht="15" customHeight="1" x14ac:dyDescent="0.25">
      <c r="B2716" s="539"/>
      <c r="C2716" s="539"/>
      <c r="D2716" s="539"/>
      <c r="E2716" s="539"/>
      <c r="F2716" s="539"/>
      <c r="G2716" s="539"/>
      <c r="H2716" s="539"/>
      <c r="I2716" s="539"/>
      <c r="J2716" s="539"/>
      <c r="K2716" s="539"/>
      <c r="L2716" s="539"/>
      <c r="M2716" s="539"/>
      <c r="N2716" s="539"/>
      <c r="O2716" s="539"/>
      <c r="P2716" s="539"/>
      <c r="Q2716" s="539"/>
      <c r="R2716" s="539"/>
      <c r="S2716" s="539"/>
      <c r="T2716" s="539"/>
      <c r="U2716" s="539"/>
      <c r="V2716" s="539"/>
      <c r="W2716" s="539"/>
      <c r="X2716" s="539"/>
      <c r="Y2716" s="539"/>
      <c r="Z2716" s="539"/>
      <c r="AA2716" s="539"/>
      <c r="AB2716" s="539"/>
      <c r="AC2716" s="539"/>
      <c r="AD2716" s="539"/>
      <c r="AE2716" s="539"/>
      <c r="AF2716" s="539"/>
      <c r="AG2716" s="539"/>
    </row>
    <row r="2717" spans="2:33" ht="15" customHeight="1" x14ac:dyDescent="0.25"/>
    <row r="2718" spans="2:33" ht="15" customHeight="1" x14ac:dyDescent="0.25"/>
    <row r="2719" spans="2:33" ht="15" customHeight="1" x14ac:dyDescent="0.25"/>
    <row r="2720" spans="2:33" ht="15" customHeight="1" x14ac:dyDescent="0.25"/>
  </sheetData>
  <mergeCells count="19">
    <mergeCell ref="B2598:AG2598"/>
    <mergeCell ref="B2716:AG2716"/>
    <mergeCell ref="B1910:AG1910"/>
    <mergeCell ref="B2032:AG2032"/>
    <mergeCell ref="B2196:AG2196"/>
    <mergeCell ref="B2298:AG2298"/>
    <mergeCell ref="B2388:AG2388"/>
    <mergeCell ref="B2477:AG2477"/>
    <mergeCell ref="B1824:AG1824"/>
    <mergeCell ref="B187:AG187"/>
    <mergeCell ref="B390:AG390"/>
    <mergeCell ref="B591:AG591"/>
    <mergeCell ref="B766:AG766"/>
    <mergeCell ref="B979:AG979"/>
    <mergeCell ref="B1106:AG1106"/>
    <mergeCell ref="B1269:AG1269"/>
    <mergeCell ref="B1381:AG1381"/>
    <mergeCell ref="B1483:AG1483"/>
    <mergeCell ref="B1577:AG1577"/>
  </mergeCells>
  <hyperlinks>
    <hyperlink ref="B4" r:id="rId1" display="https://www.eia.gov/outlooks/aeo/tables_ref.php" xr:uid="{14B9DD13-A234-43A3-9D17-483B45578C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D86A8-0D8D-4523-BA07-445DFDA60F17}">
  <sheetPr>
    <tabColor theme="6"/>
  </sheetPr>
  <dimension ref="A2:I22"/>
  <sheetViews>
    <sheetView workbookViewId="0">
      <selection activeCell="C7" sqref="C7"/>
    </sheetView>
  </sheetViews>
  <sheetFormatPr defaultRowHeight="15" x14ac:dyDescent="0.25"/>
  <cols>
    <col min="2" max="2" width="22.140625" customWidth="1"/>
    <col min="3" max="3" width="12.28515625" customWidth="1"/>
    <col min="4" max="4" width="11.5703125" bestFit="1" customWidth="1"/>
    <col min="6" max="6" width="22" customWidth="1"/>
  </cols>
  <sheetData>
    <row r="2" spans="1:9" x14ac:dyDescent="0.25">
      <c r="A2" s="110" t="s">
        <v>409</v>
      </c>
    </row>
    <row r="3" spans="1:9" x14ac:dyDescent="0.25">
      <c r="C3" t="s">
        <v>851</v>
      </c>
    </row>
    <row r="4" spans="1:9" ht="107.25" customHeight="1" x14ac:dyDescent="0.25">
      <c r="C4" s="540" t="s">
        <v>852</v>
      </c>
      <c r="D4" s="540"/>
      <c r="E4" s="540"/>
      <c r="F4" s="540"/>
      <c r="G4" s="540"/>
      <c r="H4" s="540"/>
      <c r="I4" s="540"/>
    </row>
    <row r="5" spans="1:9" x14ac:dyDescent="0.25">
      <c r="B5" t="s">
        <v>853</v>
      </c>
      <c r="C5">
        <v>40</v>
      </c>
      <c r="D5" t="s">
        <v>196</v>
      </c>
    </row>
    <row r="6" spans="1:9" x14ac:dyDescent="0.25">
      <c r="B6" t="s">
        <v>854</v>
      </c>
      <c r="C6">
        <v>97</v>
      </c>
      <c r="D6" t="s">
        <v>196</v>
      </c>
    </row>
    <row r="7" spans="1:9" x14ac:dyDescent="0.25">
      <c r="B7" t="s">
        <v>855</v>
      </c>
      <c r="C7">
        <f>AVERAGE(C5:C6)</f>
        <v>68.5</v>
      </c>
      <c r="D7" t="s">
        <v>196</v>
      </c>
    </row>
    <row r="8" spans="1:9" x14ac:dyDescent="0.25">
      <c r="B8" t="s">
        <v>417</v>
      </c>
      <c r="C8">
        <v>2023</v>
      </c>
    </row>
    <row r="11" spans="1:9" x14ac:dyDescent="0.25">
      <c r="A11" s="110" t="s">
        <v>426</v>
      </c>
    </row>
    <row r="13" spans="1:9" x14ac:dyDescent="0.25">
      <c r="B13" t="s">
        <v>856</v>
      </c>
      <c r="C13" s="123" t="s">
        <v>857</v>
      </c>
    </row>
    <row r="15" spans="1:9" x14ac:dyDescent="0.25">
      <c r="B15" t="s">
        <v>858</v>
      </c>
      <c r="C15" t="s">
        <v>54</v>
      </c>
      <c r="D15">
        <v>2010</v>
      </c>
    </row>
    <row r="16" spans="1:9" x14ac:dyDescent="0.25">
      <c r="B16" t="s">
        <v>858</v>
      </c>
      <c r="C16" t="s">
        <v>859</v>
      </c>
      <c r="D16" s="194">
        <v>391906</v>
      </c>
      <c r="F16" t="s">
        <v>110</v>
      </c>
      <c r="G16" t="s">
        <v>54</v>
      </c>
      <c r="H16">
        <v>2023</v>
      </c>
    </row>
    <row r="17" spans="2:8" x14ac:dyDescent="0.25">
      <c r="B17" t="s">
        <v>860</v>
      </c>
      <c r="C17" t="s">
        <v>54</v>
      </c>
      <c r="D17">
        <v>2020</v>
      </c>
      <c r="F17" t="s">
        <v>111</v>
      </c>
      <c r="G17" t="s">
        <v>112</v>
      </c>
      <c r="H17">
        <v>19760</v>
      </c>
    </row>
    <row r="18" spans="2:8" x14ac:dyDescent="0.25">
      <c r="B18" t="s">
        <v>860</v>
      </c>
      <c r="C18" t="s">
        <v>859</v>
      </c>
      <c r="D18" s="194">
        <v>413066</v>
      </c>
      <c r="F18" t="s">
        <v>113</v>
      </c>
      <c r="G18" t="s">
        <v>54</v>
      </c>
      <c r="H18">
        <v>2046</v>
      </c>
    </row>
    <row r="19" spans="2:8" x14ac:dyDescent="0.25">
      <c r="F19" t="s">
        <v>114</v>
      </c>
      <c r="G19" t="s">
        <v>112</v>
      </c>
      <c r="H19">
        <v>28828</v>
      </c>
    </row>
    <row r="20" spans="2:8" x14ac:dyDescent="0.25">
      <c r="B20" t="s">
        <v>861</v>
      </c>
      <c r="C20" t="s">
        <v>76</v>
      </c>
      <c r="D20" s="195">
        <f>(D18-D16)/D16</f>
        <v>5.3992539027215708E-2</v>
      </c>
      <c r="F20" t="s">
        <v>273</v>
      </c>
      <c r="G20" t="s">
        <v>76</v>
      </c>
      <c r="H20">
        <v>1.6556762094363853E-2</v>
      </c>
    </row>
    <row r="21" spans="2:8" x14ac:dyDescent="0.25">
      <c r="B21" t="s">
        <v>655</v>
      </c>
      <c r="C21" t="s">
        <v>76</v>
      </c>
      <c r="D21" s="195">
        <f>D20/(D17-D15)</f>
        <v>5.3992539027215708E-3</v>
      </c>
      <c r="F21" t="s">
        <v>265</v>
      </c>
      <c r="G21" t="s">
        <v>54</v>
      </c>
      <c r="H21">
        <v>2018</v>
      </c>
    </row>
    <row r="22" spans="2:8" x14ac:dyDescent="0.25">
      <c r="F22" t="s">
        <v>266</v>
      </c>
      <c r="G22" t="s">
        <v>112</v>
      </c>
      <c r="H22">
        <v>18202.404961075328</v>
      </c>
    </row>
  </sheetData>
  <mergeCells count="1">
    <mergeCell ref="C4:I4"/>
  </mergeCells>
  <hyperlinks>
    <hyperlink ref="C13" r:id="rId1" xr:uid="{51CB2808-2CB2-4188-9D5A-5E53DB4D7FF4}"/>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B5164-386C-41B5-BA8C-FB7356437A1D}">
  <sheetPr>
    <tabColor theme="7"/>
  </sheetPr>
  <dimension ref="A1:AM179"/>
  <sheetViews>
    <sheetView workbookViewId="0">
      <pane xSplit="1" ySplit="10" topLeftCell="C11" activePane="bottomRight" state="frozen"/>
      <selection pane="topRight" activeCell="B1" sqref="B1"/>
      <selection pane="bottomLeft" activeCell="A5" sqref="A5"/>
      <selection pane="bottomRight" activeCell="D6" sqref="D6"/>
    </sheetView>
  </sheetViews>
  <sheetFormatPr defaultColWidth="9.140625" defaultRowHeight="14.25" x14ac:dyDescent="0.2"/>
  <cols>
    <col min="1" max="1" width="10.85546875" style="1" customWidth="1"/>
    <col min="2" max="2" width="2.140625" style="1" hidden="1" customWidth="1"/>
    <col min="3" max="3" width="87.140625" style="1" bestFit="1" customWidth="1"/>
    <col min="4" max="4" width="22.7109375" style="1" bestFit="1" customWidth="1"/>
    <col min="5" max="5" width="21.85546875" style="1" customWidth="1"/>
    <col min="6" max="6" width="86" style="1" bestFit="1" customWidth="1"/>
    <col min="7" max="7" width="9.140625" style="1"/>
    <col min="8" max="8" width="16.85546875" style="1" bestFit="1" customWidth="1"/>
    <col min="9" max="36" width="13.28515625" style="1" bestFit="1" customWidth="1"/>
    <col min="37" max="39" width="10.28515625" style="1" bestFit="1" customWidth="1"/>
    <col min="40" max="16384" width="9.140625" style="1"/>
  </cols>
  <sheetData>
    <row r="1" spans="1:8" ht="19.5" x14ac:dyDescent="0.3">
      <c r="A1" s="146" t="str">
        <f>Summary!$A$1</f>
        <v>Multimodal Improvements to Safely Connect Tulsa at US-75 and 81st Street Interchange</v>
      </c>
      <c r="B1" s="146"/>
      <c r="C1" s="380"/>
      <c r="D1" s="380"/>
      <c r="E1" s="380"/>
      <c r="F1" s="380"/>
      <c r="G1" s="380"/>
      <c r="H1" s="380"/>
    </row>
    <row r="2" spans="1:8" ht="19.5" x14ac:dyDescent="0.3">
      <c r="A2" s="146" t="s">
        <v>42</v>
      </c>
      <c r="B2" s="146"/>
      <c r="C2" s="380"/>
      <c r="D2" s="380"/>
      <c r="E2" s="380"/>
      <c r="F2" s="380"/>
      <c r="G2" s="380"/>
      <c r="H2" s="380"/>
    </row>
    <row r="3" spans="1:8" x14ac:dyDescent="0.2">
      <c r="A3" s="381">
        <f ca="1">Summary!A3</f>
        <v>45687</v>
      </c>
      <c r="B3" s="381"/>
      <c r="C3" s="380"/>
      <c r="D3" s="380"/>
      <c r="E3" s="380"/>
      <c r="F3" s="380"/>
      <c r="G3" s="380"/>
      <c r="H3" s="380"/>
    </row>
    <row r="4" spans="1:8" x14ac:dyDescent="0.2">
      <c r="A4" s="33" t="str">
        <f>Summary!A4</f>
        <v>All $ values 2023, unless otherwise noted</v>
      </c>
      <c r="B4" s="33"/>
      <c r="C4" s="380"/>
      <c r="D4" s="380"/>
      <c r="E4" s="362" t="s">
        <v>43</v>
      </c>
      <c r="F4" s="362" t="s">
        <v>44</v>
      </c>
      <c r="G4" s="380"/>
      <c r="H4" s="380"/>
    </row>
    <row r="5" spans="1:8" ht="15" thickBot="1" x14ac:dyDescent="0.25">
      <c r="A5" s="382" t="str">
        <f>Summary!A5</f>
        <v>Calculation</v>
      </c>
      <c r="B5" s="382"/>
      <c r="C5" s="358" t="s">
        <v>45</v>
      </c>
      <c r="D5" s="359">
        <f>Summary!E34</f>
        <v>19.478981100171492</v>
      </c>
      <c r="E5" s="364">
        <v>19.478981100171492</v>
      </c>
      <c r="F5" s="363">
        <f>(D5-E5)/E5</f>
        <v>0</v>
      </c>
      <c r="G5" s="380"/>
      <c r="H5" s="380"/>
    </row>
    <row r="6" spans="1:8" ht="15.75" thickBot="1" x14ac:dyDescent="0.3">
      <c r="A6" s="38" t="str">
        <f>Summary!A6</f>
        <v>Note</v>
      </c>
      <c r="B6" s="38"/>
      <c r="C6" s="192" t="str">
        <f>Summary!$B$9</f>
        <v>Benefit Cost Ratio (3.1% disc.*)</v>
      </c>
      <c r="D6" s="193">
        <f>Summary!$E$9</f>
        <v>1.8138898580989069</v>
      </c>
      <c r="E6" s="380"/>
      <c r="F6" s="380"/>
      <c r="G6" s="380"/>
      <c r="H6" s="380"/>
    </row>
    <row r="7" spans="1:8" x14ac:dyDescent="0.2">
      <c r="A7" s="39" t="str">
        <f>Summary!A7</f>
        <v>Input</v>
      </c>
      <c r="B7" s="39"/>
      <c r="C7" s="383" t="s">
        <v>7</v>
      </c>
      <c r="D7" s="380" t="str">
        <f>IF($B$175=0,"NO","YES")</f>
        <v>NO</v>
      </c>
      <c r="E7" s="380"/>
      <c r="F7" s="380"/>
      <c r="G7" s="380"/>
      <c r="H7" s="380"/>
    </row>
    <row r="8" spans="1:8" x14ac:dyDescent="0.2">
      <c r="A8" s="175" t="str">
        <f>Summary!A8</f>
        <v>Sensitivity</v>
      </c>
      <c r="B8" s="175"/>
      <c r="C8" s="380"/>
      <c r="D8" s="380"/>
      <c r="E8" s="380"/>
      <c r="F8" s="380"/>
      <c r="G8" s="380"/>
      <c r="H8" s="380"/>
    </row>
    <row r="9" spans="1:8" x14ac:dyDescent="0.2">
      <c r="A9" s="380"/>
      <c r="B9" s="380"/>
      <c r="C9" s="10" t="str">
        <f>Summary!$B$23</f>
        <v>*Emissions 3.1% discount factor includes 2% discount for CO2</v>
      </c>
      <c r="D9" s="380"/>
      <c r="E9" s="380"/>
      <c r="F9" s="380"/>
      <c r="G9" s="380"/>
      <c r="H9" s="380"/>
    </row>
    <row r="10" spans="1:8" ht="18" thickBot="1" x14ac:dyDescent="0.35">
      <c r="A10" s="28" t="s">
        <v>46</v>
      </c>
      <c r="B10" s="28"/>
      <c r="C10" s="28" t="s">
        <v>47</v>
      </c>
      <c r="D10" s="29" t="s">
        <v>48</v>
      </c>
      <c r="E10" s="29" t="s">
        <v>49</v>
      </c>
      <c r="F10" s="29" t="s">
        <v>50</v>
      </c>
      <c r="G10" s="29"/>
      <c r="H10" s="29" t="s">
        <v>51</v>
      </c>
    </row>
    <row r="11" spans="1:8" ht="15.75" thickTop="1" x14ac:dyDescent="0.25">
      <c r="A11" s="2" t="s">
        <v>52</v>
      </c>
      <c r="B11" s="2"/>
      <c r="C11" s="380"/>
      <c r="D11" s="380"/>
      <c r="E11" s="380"/>
      <c r="F11" s="380"/>
      <c r="G11" s="380"/>
      <c r="H11" s="380"/>
    </row>
    <row r="12" spans="1:8" x14ac:dyDescent="0.2">
      <c r="A12" s="419"/>
      <c r="B12" s="420"/>
      <c r="C12" s="420" t="s">
        <v>53</v>
      </c>
      <c r="D12" s="34" t="s">
        <v>54</v>
      </c>
      <c r="E12" s="35">
        <v>2018</v>
      </c>
      <c r="F12" s="421" t="s">
        <v>55</v>
      </c>
      <c r="G12" s="380"/>
      <c r="H12" s="380"/>
    </row>
    <row r="13" spans="1:8" x14ac:dyDescent="0.2">
      <c r="A13" s="422"/>
      <c r="B13" s="380"/>
      <c r="C13" s="380" t="s">
        <v>56</v>
      </c>
      <c r="D13" s="11" t="s">
        <v>54</v>
      </c>
      <c r="E13" s="5">
        <v>2023</v>
      </c>
      <c r="F13" s="376" t="s">
        <v>57</v>
      </c>
      <c r="G13" s="380"/>
      <c r="H13" s="380"/>
    </row>
    <row r="14" spans="1:8" x14ac:dyDescent="0.2">
      <c r="A14" s="422"/>
      <c r="B14" s="380"/>
      <c r="C14" s="380" t="s">
        <v>58</v>
      </c>
      <c r="D14" s="11" t="s">
        <v>54</v>
      </c>
      <c r="E14" s="5">
        <v>2025</v>
      </c>
      <c r="F14" s="376" t="s">
        <v>59</v>
      </c>
      <c r="G14" s="380"/>
      <c r="H14" s="380"/>
    </row>
    <row r="15" spans="1:8" x14ac:dyDescent="0.2">
      <c r="A15" s="422"/>
      <c r="B15" s="380"/>
      <c r="C15" s="380" t="s">
        <v>60</v>
      </c>
      <c r="D15" s="11" t="s">
        <v>61</v>
      </c>
      <c r="E15" s="5">
        <v>2</v>
      </c>
      <c r="F15" s="376" t="s">
        <v>59</v>
      </c>
      <c r="G15" s="380"/>
      <c r="H15" s="380"/>
    </row>
    <row r="16" spans="1:8" x14ac:dyDescent="0.2">
      <c r="A16" s="422"/>
      <c r="B16" s="380"/>
      <c r="C16" s="380" t="s">
        <v>62</v>
      </c>
      <c r="D16" s="11" t="s">
        <v>54</v>
      </c>
      <c r="E16" s="380">
        <f>E14+E15</f>
        <v>2027</v>
      </c>
      <c r="F16" s="376" t="s">
        <v>3</v>
      </c>
      <c r="G16" s="380"/>
      <c r="H16" s="380"/>
    </row>
    <row r="17" spans="1:13" x14ac:dyDescent="0.2">
      <c r="A17" s="422"/>
      <c r="B17" s="380"/>
      <c r="C17" s="380" t="s">
        <v>63</v>
      </c>
      <c r="D17" s="11" t="s">
        <v>54</v>
      </c>
      <c r="E17" s="380">
        <f>E16</f>
        <v>2027</v>
      </c>
      <c r="F17" s="376" t="s">
        <v>3</v>
      </c>
      <c r="G17" s="380"/>
      <c r="H17" s="380"/>
      <c r="I17" s="380"/>
      <c r="J17" s="380"/>
      <c r="K17" s="380"/>
      <c r="L17" s="380"/>
      <c r="M17" s="380"/>
    </row>
    <row r="18" spans="1:13" ht="15" x14ac:dyDescent="0.25">
      <c r="A18" s="422"/>
      <c r="B18" s="380"/>
      <c r="C18" s="380" t="s">
        <v>64</v>
      </c>
      <c r="D18" s="11" t="s">
        <v>54</v>
      </c>
      <c r="E18" s="138">
        <v>2023</v>
      </c>
      <c r="F18" s="376" t="s">
        <v>59</v>
      </c>
      <c r="G18" s="380"/>
      <c r="H18" s="380"/>
      <c r="I18" s="380"/>
      <c r="J18" s="380"/>
      <c r="K18" s="380"/>
      <c r="L18" s="380"/>
      <c r="M18"/>
    </row>
    <row r="19" spans="1:13" x14ac:dyDescent="0.2">
      <c r="A19" s="422"/>
      <c r="B19" s="380"/>
      <c r="C19" s="380" t="s">
        <v>65</v>
      </c>
      <c r="D19" s="11" t="s">
        <v>54</v>
      </c>
      <c r="E19" s="138">
        <v>2023</v>
      </c>
      <c r="F19" s="376" t="s">
        <v>59</v>
      </c>
      <c r="G19" s="380"/>
      <c r="H19" s="380"/>
      <c r="I19" s="380"/>
      <c r="J19" s="380"/>
      <c r="K19" s="380"/>
      <c r="L19" s="380"/>
      <c r="M19" s="380"/>
    </row>
    <row r="20" spans="1:13" x14ac:dyDescent="0.2">
      <c r="A20" s="422"/>
      <c r="B20" s="380"/>
      <c r="C20" s="380" t="s">
        <v>66</v>
      </c>
      <c r="D20" s="11" t="s">
        <v>54</v>
      </c>
      <c r="E20" s="138">
        <v>2018</v>
      </c>
      <c r="F20" s="376" t="s">
        <v>59</v>
      </c>
      <c r="G20" s="380"/>
      <c r="H20" s="380"/>
      <c r="I20" s="380"/>
      <c r="J20" s="380"/>
      <c r="K20" s="380"/>
      <c r="L20" s="380"/>
      <c r="M20" s="380"/>
    </row>
    <row r="21" spans="1:13" x14ac:dyDescent="0.2">
      <c r="A21" s="422"/>
      <c r="B21" s="380"/>
      <c r="C21" s="380" t="s">
        <v>67</v>
      </c>
      <c r="D21" s="11" t="s">
        <v>54</v>
      </c>
      <c r="E21" s="138">
        <v>2022</v>
      </c>
      <c r="F21" s="376" t="s">
        <v>59</v>
      </c>
      <c r="G21" s="380"/>
      <c r="H21" s="380"/>
      <c r="I21" s="380"/>
      <c r="J21" s="380"/>
      <c r="K21" s="380"/>
      <c r="L21" s="380"/>
      <c r="M21" s="380"/>
    </row>
    <row r="22" spans="1:13" x14ac:dyDescent="0.2">
      <c r="A22" s="422"/>
      <c r="B22" s="380"/>
      <c r="C22" s="380" t="s">
        <v>68</v>
      </c>
      <c r="D22" s="11" t="s">
        <v>54</v>
      </c>
      <c r="E22" s="138">
        <v>2022</v>
      </c>
      <c r="F22" s="376" t="s">
        <v>59</v>
      </c>
      <c r="G22" s="380"/>
      <c r="H22" s="380"/>
      <c r="I22" s="380"/>
      <c r="J22" s="380"/>
      <c r="K22" s="380"/>
      <c r="L22" s="380"/>
      <c r="M22" s="380"/>
    </row>
    <row r="23" spans="1:13" x14ac:dyDescent="0.2">
      <c r="A23" s="422"/>
      <c r="B23" s="380"/>
      <c r="C23" s="380" t="s">
        <v>69</v>
      </c>
      <c r="D23" s="11" t="s">
        <v>61</v>
      </c>
      <c r="E23" s="380">
        <f>MAX(E24:E25)</f>
        <v>20</v>
      </c>
      <c r="F23" s="376" t="s">
        <v>57</v>
      </c>
      <c r="G23" s="380"/>
      <c r="H23" s="10"/>
      <c r="I23" s="380"/>
      <c r="J23" s="380"/>
      <c r="K23" s="380"/>
      <c r="L23" s="380"/>
      <c r="M23" s="380"/>
    </row>
    <row r="24" spans="1:13" x14ac:dyDescent="0.2">
      <c r="A24" s="422"/>
      <c r="B24" s="380"/>
      <c r="C24" s="380" t="s">
        <v>70</v>
      </c>
      <c r="D24" s="11" t="s">
        <v>61</v>
      </c>
      <c r="E24" s="5">
        <v>20</v>
      </c>
      <c r="F24" s="376" t="s">
        <v>57</v>
      </c>
      <c r="G24" s="380"/>
      <c r="H24" s="380"/>
      <c r="I24" s="380"/>
      <c r="J24" s="380"/>
      <c r="K24" s="380"/>
      <c r="L24" s="380"/>
      <c r="M24" s="380"/>
    </row>
    <row r="25" spans="1:13" x14ac:dyDescent="0.2">
      <c r="A25" s="175"/>
      <c r="B25" s="175">
        <f>IF(E25=0,0,1)</f>
        <v>0</v>
      </c>
      <c r="C25" s="175" t="s">
        <v>71</v>
      </c>
      <c r="D25" s="226" t="s">
        <v>61</v>
      </c>
      <c r="E25" s="175">
        <v>0</v>
      </c>
      <c r="F25" s="227" t="s">
        <v>72</v>
      </c>
      <c r="G25" s="380"/>
      <c r="H25" s="380"/>
      <c r="I25" s="380"/>
      <c r="J25" s="380"/>
      <c r="K25" s="380"/>
      <c r="L25" s="380"/>
      <c r="M25" s="380"/>
    </row>
    <row r="26" spans="1:13" x14ac:dyDescent="0.2">
      <c r="A26" s="423"/>
      <c r="B26" s="418"/>
      <c r="C26" s="418" t="s">
        <v>73</v>
      </c>
      <c r="D26" s="36" t="s">
        <v>54</v>
      </c>
      <c r="E26" s="37">
        <f>E17+E23</f>
        <v>2047</v>
      </c>
      <c r="F26" s="424" t="s">
        <v>3</v>
      </c>
      <c r="G26" s="380"/>
      <c r="H26" s="380"/>
      <c r="I26" s="380"/>
      <c r="J26" s="380"/>
      <c r="K26" s="380"/>
      <c r="L26" s="380"/>
      <c r="M26" s="380"/>
    </row>
    <row r="27" spans="1:13" x14ac:dyDescent="0.2">
      <c r="A27" s="380"/>
      <c r="B27" s="380"/>
      <c r="C27" s="380"/>
      <c r="D27" s="11"/>
      <c r="E27" s="9"/>
      <c r="F27" s="380"/>
      <c r="G27" s="380"/>
      <c r="H27" s="380"/>
      <c r="I27" s="380"/>
      <c r="J27" s="380"/>
      <c r="K27" s="380"/>
      <c r="L27" s="380"/>
      <c r="M27" s="380"/>
    </row>
    <row r="28" spans="1:13" ht="15" x14ac:dyDescent="0.25">
      <c r="A28" s="2" t="s">
        <v>74</v>
      </c>
      <c r="B28" s="2"/>
      <c r="C28" s="380"/>
      <c r="D28" s="11"/>
      <c r="E28" s="9"/>
      <c r="F28" s="380"/>
      <c r="G28" s="380"/>
      <c r="H28" s="380"/>
      <c r="I28" s="380"/>
      <c r="J28" s="380"/>
      <c r="K28" s="380"/>
      <c r="L28" s="380"/>
      <c r="M28" s="380"/>
    </row>
    <row r="29" spans="1:13" x14ac:dyDescent="0.2">
      <c r="A29" s="419"/>
      <c r="B29" s="420"/>
      <c r="C29" s="420" t="s">
        <v>75</v>
      </c>
      <c r="D29" s="34" t="s">
        <v>76</v>
      </c>
      <c r="E29" s="222">
        <v>0</v>
      </c>
      <c r="F29" s="421" t="s">
        <v>57</v>
      </c>
      <c r="G29" s="380"/>
      <c r="H29" s="380"/>
      <c r="I29" s="380"/>
      <c r="J29" s="380"/>
      <c r="K29" s="380"/>
      <c r="L29" s="380"/>
      <c r="M29" s="380"/>
    </row>
    <row r="30" spans="1:13" ht="15" x14ac:dyDescent="0.25">
      <c r="A30" s="422"/>
      <c r="B30" s="380"/>
      <c r="C30" s="380" t="s">
        <v>77</v>
      </c>
      <c r="D30" s="11" t="s">
        <v>76</v>
      </c>
      <c r="E30" s="316">
        <v>0.02</v>
      </c>
      <c r="F30" s="376" t="s">
        <v>57</v>
      </c>
      <c r="G30" s="380"/>
      <c r="H30"/>
      <c r="I30"/>
      <c r="J30"/>
      <c r="K30"/>
      <c r="L30"/>
      <c r="M30"/>
    </row>
    <row r="31" spans="1:13" ht="15" x14ac:dyDescent="0.25">
      <c r="A31" s="422"/>
      <c r="B31" s="380"/>
      <c r="C31" s="380" t="s">
        <v>78</v>
      </c>
      <c r="D31" s="11" t="s">
        <v>76</v>
      </c>
      <c r="E31" s="316">
        <v>3.1E-2</v>
      </c>
      <c r="F31" s="376" t="s">
        <v>57</v>
      </c>
      <c r="G31" s="380"/>
      <c r="H31" s="380"/>
      <c r="I31" s="380"/>
      <c r="J31" s="380"/>
      <c r="K31" s="380"/>
      <c r="L31" s="380"/>
      <c r="M31"/>
    </row>
    <row r="32" spans="1:13" x14ac:dyDescent="0.2">
      <c r="A32" s="422"/>
      <c r="B32" s="380"/>
      <c r="C32" s="380" t="s">
        <v>79</v>
      </c>
      <c r="D32" s="52" t="s">
        <v>80</v>
      </c>
      <c r="E32" s="138">
        <v>365</v>
      </c>
      <c r="F32" s="376" t="s">
        <v>81</v>
      </c>
      <c r="G32" s="380"/>
      <c r="H32" s="380"/>
      <c r="I32" s="380"/>
      <c r="J32" s="380"/>
      <c r="K32" s="380"/>
      <c r="L32" s="380"/>
      <c r="M32" s="380"/>
    </row>
    <row r="33" spans="1:6" x14ac:dyDescent="0.2">
      <c r="A33" s="423"/>
      <c r="B33" s="418"/>
      <c r="C33" s="418" t="s">
        <v>82</v>
      </c>
      <c r="D33" s="59" t="s">
        <v>83</v>
      </c>
      <c r="E33" s="180">
        <v>1000</v>
      </c>
      <c r="F33" s="424" t="s">
        <v>81</v>
      </c>
    </row>
    <row r="34" spans="1:6" x14ac:dyDescent="0.2">
      <c r="A34" s="380"/>
      <c r="B34" s="380"/>
      <c r="C34" s="380"/>
      <c r="D34" s="52"/>
      <c r="E34" s="380"/>
      <c r="F34" s="380"/>
    </row>
    <row r="35" spans="1:6" ht="15" x14ac:dyDescent="0.25">
      <c r="A35" s="2" t="s">
        <v>84</v>
      </c>
      <c r="B35" s="2"/>
      <c r="C35" s="380"/>
      <c r="D35" s="10"/>
      <c r="E35" s="380"/>
      <c r="F35" s="380"/>
    </row>
    <row r="36" spans="1:6" ht="15" x14ac:dyDescent="0.25">
      <c r="A36" s="265"/>
      <c r="B36" s="190"/>
      <c r="C36" s="420" t="s">
        <v>85</v>
      </c>
      <c r="D36" s="34" t="s">
        <v>86</v>
      </c>
      <c r="E36" s="425">
        <f>'REF Project Costs'!I17</f>
        <v>27662217.281689141</v>
      </c>
      <c r="F36" s="421" t="s">
        <v>59</v>
      </c>
    </row>
    <row r="37" spans="1:6" ht="14.25" customHeight="1" x14ac:dyDescent="0.2">
      <c r="A37" s="266"/>
      <c r="B37" s="175">
        <f>IF(E37=0,0,1)</f>
        <v>0</v>
      </c>
      <c r="C37" s="175" t="s">
        <v>87</v>
      </c>
      <c r="D37" s="226" t="s">
        <v>76</v>
      </c>
      <c r="E37" s="225">
        <v>0</v>
      </c>
      <c r="F37" s="227" t="s">
        <v>88</v>
      </c>
    </row>
    <row r="38" spans="1:6" x14ac:dyDescent="0.2">
      <c r="A38" s="422"/>
      <c r="B38" s="380"/>
      <c r="C38" s="380" t="s">
        <v>89</v>
      </c>
      <c r="D38" s="11" t="s">
        <v>86</v>
      </c>
      <c r="E38" s="317">
        <f>'REF Project Costs'!$M$7</f>
        <v>7022864.7404078525</v>
      </c>
      <c r="F38" s="376" t="s">
        <v>90</v>
      </c>
    </row>
    <row r="39" spans="1:6" x14ac:dyDescent="0.2">
      <c r="A39" s="422"/>
      <c r="B39" s="380"/>
      <c r="C39" s="380" t="s">
        <v>91</v>
      </c>
      <c r="D39" s="11" t="s">
        <v>61</v>
      </c>
      <c r="E39" s="138">
        <v>20</v>
      </c>
      <c r="F39" s="376" t="s">
        <v>92</v>
      </c>
    </row>
    <row r="40" spans="1:6" x14ac:dyDescent="0.2">
      <c r="A40" s="422"/>
      <c r="B40" s="380"/>
      <c r="C40" s="380" t="s">
        <v>93</v>
      </c>
      <c r="D40" s="11" t="s">
        <v>86</v>
      </c>
      <c r="E40" s="139">
        <v>0</v>
      </c>
      <c r="F40" s="376" t="s">
        <v>59</v>
      </c>
    </row>
    <row r="41" spans="1:6" x14ac:dyDescent="0.2">
      <c r="A41" s="422"/>
      <c r="B41" s="380"/>
      <c r="C41" s="380" t="s">
        <v>94</v>
      </c>
      <c r="D41" s="11" t="s">
        <v>95</v>
      </c>
      <c r="E41" s="139">
        <v>12</v>
      </c>
      <c r="F41" s="376" t="s">
        <v>96</v>
      </c>
    </row>
    <row r="42" spans="1:6" x14ac:dyDescent="0.2">
      <c r="A42" s="422"/>
      <c r="B42" s="380"/>
      <c r="C42" s="380" t="s">
        <v>97</v>
      </c>
      <c r="D42" s="11" t="s">
        <v>98</v>
      </c>
      <c r="E42" s="139">
        <v>8</v>
      </c>
      <c r="F42" s="376" t="s">
        <v>96</v>
      </c>
    </row>
    <row r="43" spans="1:6" x14ac:dyDescent="0.2">
      <c r="A43" s="422"/>
      <c r="B43" s="380"/>
      <c r="C43" s="380" t="s">
        <v>99</v>
      </c>
      <c r="D43" s="11" t="s">
        <v>98</v>
      </c>
      <c r="E43" s="139">
        <v>4</v>
      </c>
      <c r="F43" s="376" t="s">
        <v>96</v>
      </c>
    </row>
    <row r="44" spans="1:6" x14ac:dyDescent="0.2">
      <c r="A44" s="423"/>
      <c r="B44" s="418"/>
      <c r="C44" s="418" t="s">
        <v>100</v>
      </c>
      <c r="D44" s="36" t="s">
        <v>101</v>
      </c>
      <c r="E44" s="221">
        <f>E73*2</f>
        <v>0.53030303030303028</v>
      </c>
      <c r="F44" s="424" t="s">
        <v>96</v>
      </c>
    </row>
    <row r="45" spans="1:6" x14ac:dyDescent="0.2">
      <c r="A45" s="380"/>
      <c r="B45" s="380"/>
      <c r="C45" s="380"/>
      <c r="D45" s="11"/>
      <c r="E45" s="380"/>
      <c r="F45" s="380"/>
    </row>
    <row r="46" spans="1:6" ht="15" x14ac:dyDescent="0.25">
      <c r="A46" s="2" t="s">
        <v>102</v>
      </c>
      <c r="B46" s="2"/>
      <c r="C46" s="380"/>
      <c r="D46" s="10"/>
      <c r="E46" s="380"/>
      <c r="F46" s="380"/>
    </row>
    <row r="47" spans="1:6" x14ac:dyDescent="0.2">
      <c r="A47" s="419"/>
      <c r="B47" s="420"/>
      <c r="C47" s="420" t="s">
        <v>103</v>
      </c>
      <c r="D47" s="34" t="s">
        <v>76</v>
      </c>
      <c r="E47" s="222">
        <v>0.03</v>
      </c>
      <c r="F47" s="421" t="s">
        <v>104</v>
      </c>
    </row>
    <row r="48" spans="1:6" x14ac:dyDescent="0.2">
      <c r="A48" s="373"/>
      <c r="B48" s="9"/>
      <c r="C48" s="9" t="s">
        <v>105</v>
      </c>
      <c r="D48" s="11" t="s">
        <v>106</v>
      </c>
      <c r="E48" s="357">
        <v>1</v>
      </c>
      <c r="F48" s="374"/>
    </row>
    <row r="49" spans="1:6" x14ac:dyDescent="0.2">
      <c r="A49" s="422"/>
      <c r="B49" s="380"/>
      <c r="C49" s="380" t="s">
        <v>107</v>
      </c>
      <c r="D49" s="11" t="s">
        <v>108</v>
      </c>
      <c r="E49" s="369">
        <v>0.01</v>
      </c>
      <c r="F49" s="376"/>
    </row>
    <row r="50" spans="1:6" ht="15" x14ac:dyDescent="0.25">
      <c r="A50" s="422"/>
      <c r="B50" s="380"/>
      <c r="C50" s="2" t="s">
        <v>109</v>
      </c>
      <c r="D50" s="11"/>
      <c r="E50" s="11"/>
      <c r="F50" s="376"/>
    </row>
    <row r="51" spans="1:6" x14ac:dyDescent="0.2">
      <c r="A51" s="422"/>
      <c r="B51" s="380"/>
      <c r="C51" s="380" t="s">
        <v>110</v>
      </c>
      <c r="D51" s="11" t="s">
        <v>54</v>
      </c>
      <c r="E51" s="351">
        <f>'REF Traffic'!$D$68</f>
        <v>2023</v>
      </c>
      <c r="F51" s="376" t="s">
        <v>104</v>
      </c>
    </row>
    <row r="52" spans="1:6" x14ac:dyDescent="0.2">
      <c r="A52" s="422"/>
      <c r="B52" s="380"/>
      <c r="C52" s="380" t="s">
        <v>111</v>
      </c>
      <c r="D52" s="11" t="s">
        <v>112</v>
      </c>
      <c r="E52" s="223">
        <f>'REF Traffic'!$D$71</f>
        <v>19720</v>
      </c>
      <c r="F52" s="376" t="s">
        <v>104</v>
      </c>
    </row>
    <row r="53" spans="1:6" x14ac:dyDescent="0.2">
      <c r="A53" s="422"/>
      <c r="B53" s="380"/>
      <c r="C53" s="380" t="s">
        <v>113</v>
      </c>
      <c r="D53" s="11" t="s">
        <v>54</v>
      </c>
      <c r="E53" s="351">
        <f>'REF Traffic'!$C$117</f>
        <v>2046</v>
      </c>
      <c r="F53" s="376" t="s">
        <v>104</v>
      </c>
    </row>
    <row r="54" spans="1:6" x14ac:dyDescent="0.2">
      <c r="A54" s="422"/>
      <c r="B54" s="380"/>
      <c r="C54" s="380" t="s">
        <v>114</v>
      </c>
      <c r="D54" s="11" t="s">
        <v>112</v>
      </c>
      <c r="E54" s="223">
        <f>'REF Traffic'!$C$124</f>
        <v>24255.599999999999</v>
      </c>
      <c r="F54" s="376" t="s">
        <v>104</v>
      </c>
    </row>
    <row r="55" spans="1:6" ht="15" x14ac:dyDescent="0.25">
      <c r="A55" s="422"/>
      <c r="B55" s="380"/>
      <c r="C55" s="2" t="s">
        <v>115</v>
      </c>
      <c r="D55" s="11"/>
      <c r="E55" s="223"/>
      <c r="F55" s="376"/>
    </row>
    <row r="56" spans="1:6" x14ac:dyDescent="0.2">
      <c r="A56" s="422"/>
      <c r="B56" s="380"/>
      <c r="C56" s="380" t="s">
        <v>110</v>
      </c>
      <c r="D56" s="11" t="s">
        <v>54</v>
      </c>
      <c r="E56" s="351">
        <f>'REF Traffic'!L53</f>
        <v>2023</v>
      </c>
      <c r="F56" s="376" t="s">
        <v>104</v>
      </c>
    </row>
    <row r="57" spans="1:6" x14ac:dyDescent="0.2">
      <c r="A57" s="422"/>
      <c r="B57" s="380"/>
      <c r="C57" s="380" t="s">
        <v>111</v>
      </c>
      <c r="D57" s="11" t="s">
        <v>112</v>
      </c>
      <c r="E57" s="351">
        <f>'REF Traffic'!L56</f>
        <v>7702</v>
      </c>
      <c r="F57" s="376" t="s">
        <v>104</v>
      </c>
    </row>
    <row r="58" spans="1:6" x14ac:dyDescent="0.2">
      <c r="A58" s="422"/>
      <c r="B58" s="380"/>
      <c r="C58" s="380" t="s">
        <v>113</v>
      </c>
      <c r="D58" s="11" t="s">
        <v>54</v>
      </c>
      <c r="E58" s="351">
        <f>'REF Traffic'!$L$101</f>
        <v>2046</v>
      </c>
      <c r="F58" s="376" t="s">
        <v>104</v>
      </c>
    </row>
    <row r="59" spans="1:6" x14ac:dyDescent="0.2">
      <c r="A59" s="423"/>
      <c r="B59" s="418"/>
      <c r="C59" s="418" t="s">
        <v>114</v>
      </c>
      <c r="D59" s="36" t="s">
        <v>112</v>
      </c>
      <c r="E59" s="333">
        <f>'REF Traffic'!L106</f>
        <v>9473.4599999999991</v>
      </c>
      <c r="F59" s="424" t="s">
        <v>104</v>
      </c>
    </row>
    <row r="60" spans="1:6" x14ac:dyDescent="0.2">
      <c r="A60" s="380"/>
      <c r="B60" s="380"/>
      <c r="C60" s="380"/>
      <c r="D60" s="7"/>
      <c r="E60" s="223"/>
      <c r="F60" s="380"/>
    </row>
    <row r="61" spans="1:6" ht="15" x14ac:dyDescent="0.25">
      <c r="A61" s="2" t="s">
        <v>116</v>
      </c>
      <c r="B61" s="2"/>
      <c r="C61" s="380"/>
      <c r="D61" s="11"/>
      <c r="E61" s="426"/>
      <c r="F61" s="380"/>
    </row>
    <row r="62" spans="1:6" x14ac:dyDescent="0.2">
      <c r="A62" s="419"/>
      <c r="B62" s="420"/>
      <c r="C62" s="420" t="str">
        <f>'REF Accidents'!$B$9</f>
        <v>Non-incapacitating injuries or possible injury</v>
      </c>
      <c r="D62" s="187" t="s">
        <v>117</v>
      </c>
      <c r="E62" s="427">
        <f>'REF Accidents'!$D$9</f>
        <v>1.7777777777777777</v>
      </c>
      <c r="F62" s="421" t="s">
        <v>118</v>
      </c>
    </row>
    <row r="63" spans="1:6" x14ac:dyDescent="0.2">
      <c r="A63" s="422"/>
      <c r="B63" s="380"/>
      <c r="C63" s="380" t="str">
        <f>'REF Accidents'!$B$10</f>
        <v>PDO</v>
      </c>
      <c r="D63" s="52" t="s">
        <v>117</v>
      </c>
      <c r="E63" s="408">
        <f>'REF Accidents'!$D$10</f>
        <v>2</v>
      </c>
      <c r="F63" s="376" t="s">
        <v>118</v>
      </c>
    </row>
    <row r="64" spans="1:6" x14ac:dyDescent="0.2">
      <c r="A64" s="422"/>
      <c r="B64" s="380"/>
      <c r="C64" s="380" t="str">
        <f>'REF Accidents'!$B$11</f>
        <v>Total Crashes</v>
      </c>
      <c r="D64" s="52" t="s">
        <v>117</v>
      </c>
      <c r="E64" s="408">
        <f>'REF Accidents'!$D$11</f>
        <v>3.7777777777777777</v>
      </c>
      <c r="F64" s="376" t="s">
        <v>118</v>
      </c>
    </row>
    <row r="65" spans="1:6" x14ac:dyDescent="0.2">
      <c r="A65" s="422"/>
      <c r="B65" s="380"/>
      <c r="C65" s="380" t="s">
        <v>119</v>
      </c>
      <c r="D65" s="52" t="s">
        <v>120</v>
      </c>
      <c r="E65" s="428">
        <f>'REF Accidents'!$C$5</f>
        <v>2021</v>
      </c>
      <c r="F65" s="376" t="s">
        <v>118</v>
      </c>
    </row>
    <row r="66" spans="1:6" x14ac:dyDescent="0.2">
      <c r="A66" s="422"/>
      <c r="B66" s="380"/>
      <c r="C66" s="380" t="s">
        <v>121</v>
      </c>
      <c r="D66" s="181" t="s">
        <v>122</v>
      </c>
      <c r="E66" s="429">
        <f>'REF USDOT BCA 2025 Guidlines'!$C$9</f>
        <v>246900</v>
      </c>
      <c r="F66" s="376" t="s">
        <v>123</v>
      </c>
    </row>
    <row r="67" spans="1:6" ht="14.25" customHeight="1" x14ac:dyDescent="0.2">
      <c r="A67" s="422"/>
      <c r="B67" s="380"/>
      <c r="C67" s="380" t="s">
        <v>124</v>
      </c>
      <c r="D67" s="181" t="s">
        <v>122</v>
      </c>
      <c r="E67" s="429">
        <f>'REF USDOT BCA 2025 Guidlines'!$C$15</f>
        <v>9500</v>
      </c>
      <c r="F67" s="376" t="s">
        <v>125</v>
      </c>
    </row>
    <row r="68" spans="1:6" x14ac:dyDescent="0.2">
      <c r="A68" s="422"/>
      <c r="B68" s="380"/>
      <c r="C68" s="380" t="s">
        <v>126</v>
      </c>
      <c r="D68" s="11" t="s">
        <v>127</v>
      </c>
      <c r="E68" s="380">
        <f>'REF Accidents'!$D$13*(1-$E$69)</f>
        <v>0.52</v>
      </c>
      <c r="F68" s="376" t="s">
        <v>128</v>
      </c>
    </row>
    <row r="69" spans="1:6" x14ac:dyDescent="0.2">
      <c r="A69" s="228"/>
      <c r="B69" s="228">
        <f>IF(E69=0,0,1)</f>
        <v>0</v>
      </c>
      <c r="C69" s="228" t="s">
        <v>129</v>
      </c>
      <c r="D69" s="229" t="s">
        <v>76</v>
      </c>
      <c r="E69" s="230">
        <v>0</v>
      </c>
      <c r="F69" s="231" t="s">
        <v>88</v>
      </c>
    </row>
    <row r="70" spans="1:6" ht="14.25" customHeight="1" x14ac:dyDescent="0.2">
      <c r="A70" s="380"/>
      <c r="B70" s="380"/>
      <c r="C70" s="380"/>
      <c r="D70" s="181"/>
      <c r="E70" s="426"/>
      <c r="F70" s="380"/>
    </row>
    <row r="71" spans="1:6" ht="15" x14ac:dyDescent="0.25">
      <c r="A71" s="2" t="s">
        <v>130</v>
      </c>
      <c r="B71" s="2"/>
      <c r="C71" s="380"/>
      <c r="D71" s="10"/>
      <c r="E71" s="380"/>
      <c r="F71" s="380"/>
    </row>
    <row r="72" spans="1:6" hidden="1" x14ac:dyDescent="0.2">
      <c r="A72" s="419"/>
      <c r="B72" s="420"/>
      <c r="C72" s="420" t="s">
        <v>131</v>
      </c>
      <c r="D72" s="34" t="s">
        <v>101</v>
      </c>
      <c r="E72" s="224">
        <f>1400/5280</f>
        <v>0.26515151515151514</v>
      </c>
      <c r="F72" s="421" t="s">
        <v>132</v>
      </c>
    </row>
    <row r="73" spans="1:6" hidden="1" x14ac:dyDescent="0.2">
      <c r="A73" s="422"/>
      <c r="B73" s="380"/>
      <c r="C73" s="430" t="s">
        <v>133</v>
      </c>
      <c r="D73" s="11" t="s">
        <v>101</v>
      </c>
      <c r="E73" s="232">
        <f>1400/5280</f>
        <v>0.26515151515151514</v>
      </c>
      <c r="F73" s="376" t="s">
        <v>96</v>
      </c>
    </row>
    <row r="74" spans="1:6" hidden="1" x14ac:dyDescent="0.2">
      <c r="A74" s="422"/>
      <c r="B74" s="380"/>
      <c r="C74" s="430" t="s">
        <v>134</v>
      </c>
      <c r="D74" s="11" t="s">
        <v>135</v>
      </c>
      <c r="E74" s="233">
        <f>'REF USDOT BCA 2025 Guidlines'!D148</f>
        <v>3.2</v>
      </c>
      <c r="F74" s="376" t="s">
        <v>136</v>
      </c>
    </row>
    <row r="75" spans="1:6" ht="15" x14ac:dyDescent="0.25">
      <c r="A75" s="419"/>
      <c r="B75" s="420"/>
      <c r="C75" s="323" t="s">
        <v>137</v>
      </c>
      <c r="D75" s="324"/>
      <c r="E75" s="431"/>
      <c r="F75" s="421"/>
    </row>
    <row r="76" spans="1:6" x14ac:dyDescent="0.2">
      <c r="A76" s="422"/>
      <c r="B76" s="380"/>
      <c r="C76" s="430" t="s">
        <v>138</v>
      </c>
      <c r="D76" s="11" t="s">
        <v>139</v>
      </c>
      <c r="E76" s="184">
        <f>'REF USDOT BCA 2025 Guidlines'!C24</f>
        <v>19.399999999999999</v>
      </c>
      <c r="F76" s="376" t="s">
        <v>140</v>
      </c>
    </row>
    <row r="77" spans="1:6" x14ac:dyDescent="0.2">
      <c r="A77" s="422"/>
      <c r="B77" s="380"/>
      <c r="C77" s="430" t="s">
        <v>141</v>
      </c>
      <c r="D77" s="11" t="s">
        <v>139</v>
      </c>
      <c r="E77" s="184">
        <f>'REF USDOT BCA 2025 Guidlines'!C25</f>
        <v>33.5</v>
      </c>
      <c r="F77" s="376" t="s">
        <v>140</v>
      </c>
    </row>
    <row r="78" spans="1:6" x14ac:dyDescent="0.2">
      <c r="A78" s="422"/>
      <c r="B78" s="380"/>
      <c r="C78" s="430" t="s">
        <v>142</v>
      </c>
      <c r="D78" s="11" t="s">
        <v>139</v>
      </c>
      <c r="E78" s="184">
        <f>'REF USDOT BCA 2025 Guidlines'!C26</f>
        <v>21.1</v>
      </c>
      <c r="F78" s="376" t="s">
        <v>140</v>
      </c>
    </row>
    <row r="79" spans="1:6" x14ac:dyDescent="0.2">
      <c r="A79" s="422"/>
      <c r="B79" s="380"/>
      <c r="C79" s="430" t="s">
        <v>143</v>
      </c>
      <c r="D79" s="11" t="s">
        <v>139</v>
      </c>
      <c r="E79" s="184">
        <f>'REF USDOT BCA 2025 Guidlines'!C28</f>
        <v>38.799999999999997</v>
      </c>
      <c r="F79" s="376" t="s">
        <v>140</v>
      </c>
    </row>
    <row r="80" spans="1:6" x14ac:dyDescent="0.2">
      <c r="A80" s="422"/>
      <c r="B80" s="380"/>
      <c r="C80" s="430" t="s">
        <v>144</v>
      </c>
      <c r="D80" s="11" t="s">
        <v>139</v>
      </c>
      <c r="E80" s="184">
        <f>'REF USDOT BCA 2025 Guidlines'!C31</f>
        <v>35.700000000000003</v>
      </c>
      <c r="F80" s="376" t="s">
        <v>140</v>
      </c>
    </row>
    <row r="81" spans="1:6" x14ac:dyDescent="0.2">
      <c r="A81" s="422"/>
      <c r="B81" s="380"/>
      <c r="C81" s="430" t="s">
        <v>145</v>
      </c>
      <c r="D81" s="11" t="s">
        <v>139</v>
      </c>
      <c r="E81" s="184">
        <f>'REF USDOT BCA 2025 Guidlines'!C32</f>
        <v>42.6</v>
      </c>
      <c r="F81" s="376" t="s">
        <v>140</v>
      </c>
    </row>
    <row r="82" spans="1:6" x14ac:dyDescent="0.2">
      <c r="A82" s="422"/>
      <c r="B82" s="380"/>
      <c r="C82" s="430" t="s">
        <v>146</v>
      </c>
      <c r="D82" s="11" t="s">
        <v>139</v>
      </c>
      <c r="E82" s="184">
        <f>'REF USDOT BCA 2025 Guidlines'!C33</f>
        <v>59.6</v>
      </c>
      <c r="F82" s="376" t="s">
        <v>140</v>
      </c>
    </row>
    <row r="83" spans="1:6" x14ac:dyDescent="0.2">
      <c r="A83" s="422"/>
      <c r="B83" s="380"/>
      <c r="C83" s="430" t="s">
        <v>147</v>
      </c>
      <c r="D83" s="11" t="s">
        <v>139</v>
      </c>
      <c r="E83" s="184">
        <f>'REF USDOT BCA 2025 Guidlines'!C34</f>
        <v>52.9</v>
      </c>
      <c r="F83" s="376" t="s">
        <v>140</v>
      </c>
    </row>
    <row r="84" spans="1:6" ht="15" x14ac:dyDescent="0.25">
      <c r="A84" s="422"/>
      <c r="B84" s="380"/>
      <c r="C84" s="354" t="s">
        <v>148</v>
      </c>
      <c r="D84" s="355"/>
      <c r="E84" s="185"/>
      <c r="F84" s="376"/>
    </row>
    <row r="85" spans="1:6" ht="14.25" customHeight="1" x14ac:dyDescent="0.2">
      <c r="A85" s="422"/>
      <c r="B85" s="380"/>
      <c r="C85" s="430" t="s">
        <v>149</v>
      </c>
      <c r="D85" s="11" t="s">
        <v>150</v>
      </c>
      <c r="E85" s="356">
        <f>'REF USDOT BCA 2025 Guidlines'!C44</f>
        <v>1.34</v>
      </c>
      <c r="F85" s="376" t="s">
        <v>151</v>
      </c>
    </row>
    <row r="86" spans="1:6" ht="14.25" customHeight="1" x14ac:dyDescent="0.2">
      <c r="A86" s="422"/>
      <c r="B86" s="380"/>
      <c r="C86" s="430" t="s">
        <v>152</v>
      </c>
      <c r="D86" s="11" t="s">
        <v>150</v>
      </c>
      <c r="E86" s="356">
        <f>'REF USDOT BCA 2025 Guidlines'!C45</f>
        <v>1.41</v>
      </c>
      <c r="F86" s="376" t="s">
        <v>151</v>
      </c>
    </row>
    <row r="87" spans="1:6" ht="14.25" customHeight="1" x14ac:dyDescent="0.2">
      <c r="A87" s="422"/>
      <c r="B87" s="380"/>
      <c r="C87" s="430" t="s">
        <v>153</v>
      </c>
      <c r="D87" s="11" t="s">
        <v>150</v>
      </c>
      <c r="E87" s="356">
        <f>'REF USDOT BCA 2025 Guidlines'!C46</f>
        <v>1.81</v>
      </c>
      <c r="F87" s="376" t="s">
        <v>151</v>
      </c>
    </row>
    <row r="88" spans="1:6" ht="14.25" customHeight="1" x14ac:dyDescent="0.2">
      <c r="A88" s="422"/>
      <c r="B88" s="380"/>
      <c r="C88" s="430" t="s">
        <v>154</v>
      </c>
      <c r="D88" s="11" t="s">
        <v>150</v>
      </c>
      <c r="E88" s="356">
        <f>'REF USDOT BCA 2025 Guidlines'!C47</f>
        <v>1.52</v>
      </c>
      <c r="F88" s="376" t="s">
        <v>151</v>
      </c>
    </row>
    <row r="89" spans="1:6" ht="14.25" customHeight="1" x14ac:dyDescent="0.2">
      <c r="A89" s="422"/>
      <c r="B89" s="380"/>
      <c r="C89" s="430" t="s">
        <v>155</v>
      </c>
      <c r="D89" s="11" t="s">
        <v>150</v>
      </c>
      <c r="E89" s="139">
        <v>1</v>
      </c>
      <c r="F89" s="376" t="s">
        <v>156</v>
      </c>
    </row>
    <row r="90" spans="1:6" ht="14.25" customHeight="1" x14ac:dyDescent="0.25">
      <c r="A90" s="422"/>
      <c r="B90" s="380"/>
      <c r="C90" s="354" t="s">
        <v>157</v>
      </c>
      <c r="D90" s="11"/>
      <c r="E90" s="380"/>
      <c r="F90" s="376"/>
    </row>
    <row r="91" spans="1:6" ht="14.25" customHeight="1" x14ac:dyDescent="0.2">
      <c r="A91" s="422"/>
      <c r="B91" s="380"/>
      <c r="C91" s="380" t="s">
        <v>158</v>
      </c>
      <c r="D91" s="181" t="s">
        <v>159</v>
      </c>
      <c r="E91" s="432">
        <f>'REF Traffic'!$W$5+'REF Traffic'!$X$5+'REF Traffic'!$Y$5</f>
        <v>113.75</v>
      </c>
      <c r="F91" s="376" t="s">
        <v>160</v>
      </c>
    </row>
    <row r="92" spans="1:6" ht="14.25" customHeight="1" x14ac:dyDescent="0.2">
      <c r="A92" s="422"/>
      <c r="B92" s="380"/>
      <c r="C92" s="380" t="s">
        <v>119</v>
      </c>
      <c r="D92" s="181" t="s">
        <v>120</v>
      </c>
      <c r="E92" s="428">
        <f>'REF Traffic'!$W$3</f>
        <v>2023</v>
      </c>
      <c r="F92" s="376" t="s">
        <v>160</v>
      </c>
    </row>
    <row r="93" spans="1:6" ht="14.25" customHeight="1" x14ac:dyDescent="0.2">
      <c r="A93" s="422"/>
      <c r="B93" s="380"/>
      <c r="C93" s="380" t="s">
        <v>161</v>
      </c>
      <c r="D93" s="181" t="s">
        <v>159</v>
      </c>
      <c r="E93" s="432">
        <f>('REF Traffic'!$Z$5+'REF Traffic'!$AA$5+'REF Traffic'!$AB$5) * (1+$E$94)</f>
        <v>535</v>
      </c>
      <c r="F93" s="376" t="s">
        <v>160</v>
      </c>
    </row>
    <row r="94" spans="1:6" ht="14.25" customHeight="1" x14ac:dyDescent="0.2">
      <c r="A94" s="266"/>
      <c r="B94" s="175">
        <f>IF(E94=0,0,1)</f>
        <v>0</v>
      </c>
      <c r="C94" s="175" t="s">
        <v>162</v>
      </c>
      <c r="D94" s="226" t="s">
        <v>76</v>
      </c>
      <c r="E94" s="372">
        <f>E100</f>
        <v>0</v>
      </c>
      <c r="F94" s="227" t="s">
        <v>88</v>
      </c>
    </row>
    <row r="95" spans="1:6" ht="14.25" customHeight="1" x14ac:dyDescent="0.2">
      <c r="A95" s="422"/>
      <c r="B95" s="380"/>
      <c r="C95" s="380" t="s">
        <v>163</v>
      </c>
      <c r="D95" s="181" t="s">
        <v>120</v>
      </c>
      <c r="E95" s="428">
        <f>'REF Traffic'!$Z$3</f>
        <v>2046</v>
      </c>
      <c r="F95" s="376" t="s">
        <v>160</v>
      </c>
    </row>
    <row r="96" spans="1:6" ht="14.25" customHeight="1" x14ac:dyDescent="0.25">
      <c r="A96" s="422"/>
      <c r="B96" s="380"/>
      <c r="C96" s="354" t="s">
        <v>164</v>
      </c>
      <c r="D96" s="11"/>
      <c r="E96" s="380"/>
      <c r="F96" s="376"/>
    </row>
    <row r="97" spans="1:6" ht="14.25" customHeight="1" x14ac:dyDescent="0.2">
      <c r="A97" s="422"/>
      <c r="B97" s="380"/>
      <c r="C97" s="380" t="s">
        <v>158</v>
      </c>
      <c r="D97" s="181" t="s">
        <v>159</v>
      </c>
      <c r="E97" s="432">
        <f>('REF Traffic'!$W$6+'REF Traffic'!$X$6+'REF Traffic'!$Y$6)</f>
        <v>73.75</v>
      </c>
      <c r="F97" s="376" t="s">
        <v>160</v>
      </c>
    </row>
    <row r="98" spans="1:6" ht="14.25" customHeight="1" x14ac:dyDescent="0.2">
      <c r="A98" s="422"/>
      <c r="B98" s="380"/>
      <c r="C98" s="380" t="s">
        <v>119</v>
      </c>
      <c r="D98" s="181" t="s">
        <v>120</v>
      </c>
      <c r="E98" s="428">
        <f>'REF Traffic'!$W$3</f>
        <v>2023</v>
      </c>
      <c r="F98" s="376" t="s">
        <v>160</v>
      </c>
    </row>
    <row r="99" spans="1:6" ht="14.25" customHeight="1" x14ac:dyDescent="0.2">
      <c r="A99" s="422"/>
      <c r="B99" s="380"/>
      <c r="C99" s="380" t="s">
        <v>161</v>
      </c>
      <c r="D99" s="181" t="s">
        <v>159</v>
      </c>
      <c r="E99" s="432">
        <f>('REF Traffic'!$Z$6+'REF Traffic'!$AA$6+'REF Traffic'!$AB$6) * (1+E100)</f>
        <v>287.5</v>
      </c>
      <c r="F99" s="376" t="s">
        <v>160</v>
      </c>
    </row>
    <row r="100" spans="1:6" ht="14.25" customHeight="1" x14ac:dyDescent="0.2">
      <c r="A100" s="266"/>
      <c r="B100" s="175">
        <f>IF(E100=0,0,1)</f>
        <v>0</v>
      </c>
      <c r="C100" s="175" t="s">
        <v>162</v>
      </c>
      <c r="D100" s="226" t="s">
        <v>76</v>
      </c>
      <c r="E100" s="225">
        <v>0</v>
      </c>
      <c r="F100" s="227" t="s">
        <v>88</v>
      </c>
    </row>
    <row r="101" spans="1:6" ht="14.25" customHeight="1" x14ac:dyDescent="0.2">
      <c r="A101" s="422"/>
      <c r="B101" s="380"/>
      <c r="C101" s="380" t="s">
        <v>163</v>
      </c>
      <c r="D101" s="181" t="s">
        <v>120</v>
      </c>
      <c r="E101" s="428">
        <f>'REF Traffic'!$Z$3</f>
        <v>2046</v>
      </c>
      <c r="F101" s="376" t="s">
        <v>160</v>
      </c>
    </row>
    <row r="102" spans="1:6" ht="14.25" customHeight="1" x14ac:dyDescent="0.25">
      <c r="A102" s="422"/>
      <c r="B102" s="380"/>
      <c r="C102" s="354" t="s">
        <v>165</v>
      </c>
      <c r="D102" s="181"/>
      <c r="E102" s="428"/>
      <c r="F102" s="376"/>
    </row>
    <row r="103" spans="1:6" ht="14.25" customHeight="1" x14ac:dyDescent="0.2">
      <c r="A103" s="373"/>
      <c r="B103" s="9"/>
      <c r="C103" s="9" t="s">
        <v>166</v>
      </c>
      <c r="D103" s="9" t="s">
        <v>106</v>
      </c>
      <c r="E103" s="5">
        <v>1</v>
      </c>
      <c r="F103" s="378" t="s">
        <v>167</v>
      </c>
    </row>
    <row r="104" spans="1:6" ht="14.25" customHeight="1" x14ac:dyDescent="0.2">
      <c r="A104" s="375"/>
      <c r="B104" s="37"/>
      <c r="C104" s="37" t="s">
        <v>168</v>
      </c>
      <c r="D104" s="37" t="s">
        <v>76</v>
      </c>
      <c r="E104" s="377">
        <v>0.25</v>
      </c>
      <c r="F104" s="424" t="s">
        <v>156</v>
      </c>
    </row>
    <row r="105" spans="1:6" ht="14.25" customHeight="1" x14ac:dyDescent="0.2">
      <c r="A105" s="380"/>
      <c r="B105" s="380"/>
      <c r="C105" s="430"/>
      <c r="D105" s="11"/>
      <c r="E105" s="186"/>
      <c r="F105" s="380"/>
    </row>
    <row r="106" spans="1:6" ht="15" x14ac:dyDescent="0.25">
      <c r="A106" s="2" t="s">
        <v>169</v>
      </c>
      <c r="B106" s="2"/>
      <c r="C106" s="380"/>
      <c r="D106" s="10"/>
      <c r="E106" s="380"/>
      <c r="F106" s="380"/>
    </row>
    <row r="107" spans="1:6" ht="15" x14ac:dyDescent="0.25">
      <c r="A107" s="419"/>
      <c r="B107" s="420"/>
      <c r="C107" s="190" t="s">
        <v>170</v>
      </c>
      <c r="D107" s="187"/>
      <c r="E107" s="433"/>
      <c r="F107" s="421"/>
    </row>
    <row r="108" spans="1:6" x14ac:dyDescent="0.2">
      <c r="A108" s="422"/>
      <c r="B108" s="380"/>
      <c r="C108" s="380" t="s">
        <v>171</v>
      </c>
      <c r="D108" s="52" t="s">
        <v>172</v>
      </c>
      <c r="E108" s="432">
        <f>'REF Traffic'!$W$51+'REF Traffic'!$Y$51+'REF Traffic'!$AA$51</f>
        <v>20.0625</v>
      </c>
      <c r="F108" s="376" t="s">
        <v>160</v>
      </c>
    </row>
    <row r="109" spans="1:6" x14ac:dyDescent="0.2">
      <c r="A109" s="422"/>
      <c r="B109" s="380"/>
      <c r="C109" s="380" t="s">
        <v>171</v>
      </c>
      <c r="D109" s="52" t="s">
        <v>120</v>
      </c>
      <c r="E109" s="428">
        <f>'REF Traffic'!$W$48</f>
        <v>2023</v>
      </c>
      <c r="F109" s="376" t="s">
        <v>160</v>
      </c>
    </row>
    <row r="110" spans="1:6" x14ac:dyDescent="0.2">
      <c r="A110" s="422"/>
      <c r="B110" s="380"/>
      <c r="C110" s="380" t="s">
        <v>173</v>
      </c>
      <c r="D110" s="52" t="s">
        <v>172</v>
      </c>
      <c r="E110" s="432">
        <f>'REF Traffic'!$AC$51+'REF Traffic'!$AE$51+'REF Traffic'!$AG$51</f>
        <v>49.05</v>
      </c>
      <c r="F110" s="376" t="s">
        <v>160</v>
      </c>
    </row>
    <row r="111" spans="1:6" x14ac:dyDescent="0.2">
      <c r="A111" s="422"/>
      <c r="B111" s="380"/>
      <c r="C111" s="380" t="s">
        <v>173</v>
      </c>
      <c r="D111" s="52" t="s">
        <v>120</v>
      </c>
      <c r="E111" s="428">
        <f>'REF Traffic'!$AC$48</f>
        <v>2046</v>
      </c>
      <c r="F111" s="376" t="s">
        <v>160</v>
      </c>
    </row>
    <row r="112" spans="1:6" ht="15" x14ac:dyDescent="0.25">
      <c r="A112" s="422"/>
      <c r="B112" s="380"/>
      <c r="C112" s="2" t="s">
        <v>174</v>
      </c>
      <c r="D112" s="11"/>
      <c r="E112" s="434"/>
      <c r="F112" s="376"/>
    </row>
    <row r="113" spans="1:6" x14ac:dyDescent="0.2">
      <c r="A113" s="422"/>
      <c r="B113" s="380"/>
      <c r="C113" s="380" t="s">
        <v>175</v>
      </c>
      <c r="D113" s="52" t="s">
        <v>172</v>
      </c>
      <c r="E113" s="432">
        <f>'REF Traffic'!$W$52+'REF Traffic'!$Y$52+'REF Traffic'!$AA$52</f>
        <v>3.9000000000000004</v>
      </c>
      <c r="F113" s="376" t="s">
        <v>160</v>
      </c>
    </row>
    <row r="114" spans="1:6" x14ac:dyDescent="0.2">
      <c r="A114" s="422"/>
      <c r="B114" s="380"/>
      <c r="C114" s="380" t="s">
        <v>171</v>
      </c>
      <c r="D114" s="52" t="s">
        <v>120</v>
      </c>
      <c r="E114" s="428">
        <f>'REF Traffic'!$W$48</f>
        <v>2023</v>
      </c>
      <c r="F114" s="376" t="s">
        <v>160</v>
      </c>
    </row>
    <row r="115" spans="1:6" x14ac:dyDescent="0.2">
      <c r="A115" s="422"/>
      <c r="B115" s="380"/>
      <c r="C115" s="380" t="s">
        <v>173</v>
      </c>
      <c r="D115" s="52" t="s">
        <v>172</v>
      </c>
      <c r="E115" s="432">
        <f>'REF Traffic'!$AC$52+'REF Traffic'!$AE$52+'REF Traffic'!$AG$52</f>
        <v>9.5375000000000014</v>
      </c>
      <c r="F115" s="376" t="s">
        <v>160</v>
      </c>
    </row>
    <row r="116" spans="1:6" x14ac:dyDescent="0.2">
      <c r="A116" s="422"/>
      <c r="B116" s="380"/>
      <c r="C116" s="380" t="s">
        <v>173</v>
      </c>
      <c r="D116" s="52" t="s">
        <v>120</v>
      </c>
      <c r="E116" s="428">
        <f>'REF Traffic'!$AC$48</f>
        <v>2046</v>
      </c>
      <c r="F116" s="376" t="s">
        <v>160</v>
      </c>
    </row>
    <row r="117" spans="1:6" ht="15" x14ac:dyDescent="0.25">
      <c r="A117" s="422"/>
      <c r="B117" s="380"/>
      <c r="C117" s="2" t="s">
        <v>170</v>
      </c>
      <c r="D117" s="11"/>
      <c r="E117" s="435"/>
      <c r="F117" s="376"/>
    </row>
    <row r="118" spans="1:6" x14ac:dyDescent="0.2">
      <c r="A118" s="422"/>
      <c r="B118" s="380"/>
      <c r="C118" s="380" t="s">
        <v>176</v>
      </c>
      <c r="D118" s="52" t="s">
        <v>172</v>
      </c>
      <c r="E118" s="432">
        <f>'REF Traffic'!$X$51+'REF Traffic'!$Z$51+'REF Traffic'!$AB$51</f>
        <v>17.162499999999998</v>
      </c>
      <c r="F118" s="376" t="s">
        <v>160</v>
      </c>
    </row>
    <row r="119" spans="1:6" x14ac:dyDescent="0.2">
      <c r="A119" s="422"/>
      <c r="B119" s="380"/>
      <c r="C119" s="380" t="s">
        <v>177</v>
      </c>
      <c r="D119" s="52" t="s">
        <v>120</v>
      </c>
      <c r="E119" s="428">
        <f>'REF Traffic'!$W$48</f>
        <v>2023</v>
      </c>
      <c r="F119" s="376" t="s">
        <v>160</v>
      </c>
    </row>
    <row r="120" spans="1:6" x14ac:dyDescent="0.2">
      <c r="A120" s="422"/>
      <c r="B120" s="380"/>
      <c r="C120" s="380" t="s">
        <v>178</v>
      </c>
      <c r="D120" s="52" t="s">
        <v>172</v>
      </c>
      <c r="E120" s="432">
        <f>'REF Traffic'!$AD$51+'REF Traffic'!$AF$51+'REF Traffic'!$AH$51</f>
        <v>34.912500000000001</v>
      </c>
      <c r="F120" s="376" t="s">
        <v>160</v>
      </c>
    </row>
    <row r="121" spans="1:6" x14ac:dyDescent="0.2">
      <c r="A121" s="422"/>
      <c r="B121" s="380"/>
      <c r="C121" s="380" t="s">
        <v>178</v>
      </c>
      <c r="D121" s="52" t="s">
        <v>120</v>
      </c>
      <c r="E121" s="428">
        <f>'REF Traffic'!$AC$48</f>
        <v>2046</v>
      </c>
      <c r="F121" s="376" t="s">
        <v>160</v>
      </c>
    </row>
    <row r="122" spans="1:6" ht="15" x14ac:dyDescent="0.25">
      <c r="A122" s="422"/>
      <c r="B122" s="380"/>
      <c r="C122" s="2" t="s">
        <v>174</v>
      </c>
      <c r="D122" s="11"/>
      <c r="E122" s="435"/>
      <c r="F122" s="376"/>
    </row>
    <row r="123" spans="1:6" x14ac:dyDescent="0.2">
      <c r="A123" s="422"/>
      <c r="B123" s="380"/>
      <c r="C123" s="380" t="s">
        <v>176</v>
      </c>
      <c r="D123" s="52" t="s">
        <v>172</v>
      </c>
      <c r="E123" s="432">
        <f>'REF Traffic'!$X$52+'REF Traffic'!$Z$52+'REF Traffic'!$AB$52</f>
        <v>3.3374999999999999</v>
      </c>
      <c r="F123" s="376" t="s">
        <v>160</v>
      </c>
    </row>
    <row r="124" spans="1:6" x14ac:dyDescent="0.2">
      <c r="A124" s="422"/>
      <c r="B124" s="380"/>
      <c r="C124" s="380" t="s">
        <v>177</v>
      </c>
      <c r="D124" s="52" t="s">
        <v>120</v>
      </c>
      <c r="E124" s="428">
        <f>'REF Traffic'!$W$48</f>
        <v>2023</v>
      </c>
      <c r="F124" s="376" t="s">
        <v>160</v>
      </c>
    </row>
    <row r="125" spans="1:6" x14ac:dyDescent="0.2">
      <c r="A125" s="422"/>
      <c r="B125" s="380"/>
      <c r="C125" s="380" t="s">
        <v>178</v>
      </c>
      <c r="D125" s="52" t="s">
        <v>172</v>
      </c>
      <c r="E125" s="432">
        <f>'REF Traffic'!$AD$52+'REF Traffic'!$AF$52+'REF Traffic'!$AH$52</f>
        <v>6.7874999999999996</v>
      </c>
      <c r="F125" s="376" t="s">
        <v>160</v>
      </c>
    </row>
    <row r="126" spans="1:6" x14ac:dyDescent="0.2">
      <c r="A126" s="423"/>
      <c r="B126" s="418"/>
      <c r="C126" s="418" t="s">
        <v>178</v>
      </c>
      <c r="D126" s="59" t="s">
        <v>120</v>
      </c>
      <c r="E126" s="436">
        <f>'REF Traffic'!$AC$48</f>
        <v>2046</v>
      </c>
      <c r="F126" s="424" t="s">
        <v>160</v>
      </c>
    </row>
    <row r="127" spans="1:6" x14ac:dyDescent="0.2">
      <c r="A127" s="380"/>
      <c r="B127" s="380"/>
      <c r="C127" s="380"/>
      <c r="D127" s="10"/>
      <c r="E127" s="380"/>
      <c r="F127" s="380"/>
    </row>
    <row r="128" spans="1:6" ht="15" x14ac:dyDescent="0.25">
      <c r="A128" s="2" t="s">
        <v>179</v>
      </c>
      <c r="B128" s="2"/>
      <c r="C128" s="380"/>
      <c r="D128" s="10"/>
      <c r="E128" s="380"/>
      <c r="F128" s="380"/>
    </row>
    <row r="129" spans="1:39" ht="15" x14ac:dyDescent="0.2">
      <c r="A129" s="419"/>
      <c r="B129" s="420"/>
      <c r="C129" s="420"/>
      <c r="D129" s="142"/>
      <c r="E129" s="420"/>
      <c r="F129" s="420"/>
      <c r="G129" s="330" t="s">
        <v>54</v>
      </c>
      <c r="H129" s="331">
        <v>2022</v>
      </c>
      <c r="I129" s="279">
        <v>2023</v>
      </c>
      <c r="J129" s="279">
        <v>2024</v>
      </c>
      <c r="K129" s="279">
        <v>2025</v>
      </c>
      <c r="L129" s="279">
        <v>2026</v>
      </c>
      <c r="M129" s="279">
        <v>2027</v>
      </c>
      <c r="N129" s="279">
        <v>2028</v>
      </c>
      <c r="O129" s="279">
        <v>2029</v>
      </c>
      <c r="P129" s="279">
        <v>2030</v>
      </c>
      <c r="Q129" s="279">
        <v>2031</v>
      </c>
      <c r="R129" s="279">
        <v>2032</v>
      </c>
      <c r="S129" s="279">
        <v>2033</v>
      </c>
      <c r="T129" s="279">
        <v>2034</v>
      </c>
      <c r="U129" s="279">
        <v>2035</v>
      </c>
      <c r="V129" s="279">
        <v>2036</v>
      </c>
      <c r="W129" s="279">
        <v>2037</v>
      </c>
      <c r="X129" s="279">
        <v>2038</v>
      </c>
      <c r="Y129" s="279">
        <v>2039</v>
      </c>
      <c r="Z129" s="279">
        <v>2040</v>
      </c>
      <c r="AA129" s="279">
        <v>2041</v>
      </c>
      <c r="AB129" s="279">
        <v>2042</v>
      </c>
      <c r="AC129" s="279">
        <v>2043</v>
      </c>
      <c r="AD129" s="279">
        <v>2044</v>
      </c>
      <c r="AE129" s="279">
        <v>2045</v>
      </c>
      <c r="AF129" s="279">
        <v>2046</v>
      </c>
      <c r="AG129" s="279">
        <v>2047</v>
      </c>
      <c r="AH129" s="279">
        <v>2048</v>
      </c>
      <c r="AI129" s="279">
        <v>2049</v>
      </c>
      <c r="AJ129" s="279">
        <v>2050</v>
      </c>
      <c r="AK129" s="279">
        <v>2051</v>
      </c>
      <c r="AL129" s="279">
        <v>2052</v>
      </c>
      <c r="AM129" s="279">
        <v>2053</v>
      </c>
    </row>
    <row r="130" spans="1:39" ht="15" x14ac:dyDescent="0.2">
      <c r="A130" s="422"/>
      <c r="B130" s="380"/>
      <c r="C130" s="380" t="s">
        <v>180</v>
      </c>
      <c r="D130" s="11" t="s">
        <v>181</v>
      </c>
      <c r="E130" s="380" t="s">
        <v>182</v>
      </c>
      <c r="F130" s="380" t="s">
        <v>183</v>
      </c>
      <c r="G130" s="437"/>
      <c r="H130" s="332"/>
      <c r="I130" s="280">
        <v>19800</v>
      </c>
      <c r="J130" s="280">
        <v>20100</v>
      </c>
      <c r="K130" s="280">
        <v>20300</v>
      </c>
      <c r="L130" s="280">
        <v>20600</v>
      </c>
      <c r="M130" s="280">
        <v>21000</v>
      </c>
      <c r="N130" s="280">
        <v>21300</v>
      </c>
      <c r="O130" s="280">
        <v>21700</v>
      </c>
      <c r="P130" s="280">
        <v>22000</v>
      </c>
      <c r="Q130" s="280">
        <v>22000</v>
      </c>
      <c r="R130" s="280">
        <v>22000</v>
      </c>
      <c r="S130" s="280">
        <v>22000</v>
      </c>
      <c r="T130" s="280">
        <v>22000</v>
      </c>
      <c r="U130" s="280">
        <v>22000</v>
      </c>
      <c r="V130" s="280">
        <v>22000</v>
      </c>
      <c r="W130" s="280">
        <v>22000</v>
      </c>
      <c r="X130" s="280">
        <v>22000</v>
      </c>
      <c r="Y130" s="280">
        <v>22000</v>
      </c>
      <c r="Z130" s="280">
        <v>22000</v>
      </c>
      <c r="AA130" s="280">
        <v>22000</v>
      </c>
      <c r="AB130" s="280">
        <v>22000</v>
      </c>
      <c r="AC130" s="280">
        <v>22000</v>
      </c>
      <c r="AD130" s="280">
        <v>22000</v>
      </c>
      <c r="AE130" s="280">
        <v>22000</v>
      </c>
      <c r="AF130" s="280">
        <v>22000</v>
      </c>
      <c r="AG130" s="280">
        <v>22000</v>
      </c>
      <c r="AH130" s="280">
        <v>22000</v>
      </c>
      <c r="AI130" s="280">
        <v>22000</v>
      </c>
      <c r="AJ130" s="280">
        <v>22000</v>
      </c>
      <c r="AK130" s="280">
        <v>22000</v>
      </c>
      <c r="AL130" s="280">
        <v>22000</v>
      </c>
      <c r="AM130" s="280">
        <v>22000</v>
      </c>
    </row>
    <row r="131" spans="1:39" ht="15" x14ac:dyDescent="0.2">
      <c r="A131" s="422"/>
      <c r="B131" s="380"/>
      <c r="C131" s="380" t="s">
        <v>184</v>
      </c>
      <c r="D131" s="11" t="s">
        <v>181</v>
      </c>
      <c r="E131" s="380" t="s">
        <v>182</v>
      </c>
      <c r="F131" s="380" t="s">
        <v>183</v>
      </c>
      <c r="G131" s="437"/>
      <c r="H131" s="332"/>
      <c r="I131" s="280">
        <v>52900</v>
      </c>
      <c r="J131" s="280">
        <v>53800</v>
      </c>
      <c r="K131" s="280">
        <v>54800</v>
      </c>
      <c r="L131" s="280">
        <v>56100</v>
      </c>
      <c r="M131" s="280">
        <v>57400</v>
      </c>
      <c r="N131" s="280">
        <v>58700</v>
      </c>
      <c r="O131" s="280">
        <v>60100</v>
      </c>
      <c r="P131" s="280">
        <v>61500</v>
      </c>
      <c r="Q131" s="280">
        <v>61500</v>
      </c>
      <c r="R131" s="280">
        <v>61500</v>
      </c>
      <c r="S131" s="280">
        <v>61500</v>
      </c>
      <c r="T131" s="280">
        <v>61500</v>
      </c>
      <c r="U131" s="280">
        <v>61500</v>
      </c>
      <c r="V131" s="280">
        <v>61500</v>
      </c>
      <c r="W131" s="280">
        <v>61500</v>
      </c>
      <c r="X131" s="280">
        <v>61500</v>
      </c>
      <c r="Y131" s="280">
        <v>61500</v>
      </c>
      <c r="Z131" s="280">
        <v>61500</v>
      </c>
      <c r="AA131" s="280">
        <v>61500</v>
      </c>
      <c r="AB131" s="280">
        <v>61500</v>
      </c>
      <c r="AC131" s="280">
        <v>61500</v>
      </c>
      <c r="AD131" s="280">
        <v>61500</v>
      </c>
      <c r="AE131" s="280">
        <v>61500</v>
      </c>
      <c r="AF131" s="280">
        <v>61500</v>
      </c>
      <c r="AG131" s="280">
        <v>61500</v>
      </c>
      <c r="AH131" s="280">
        <v>61500</v>
      </c>
      <c r="AI131" s="280">
        <v>61500</v>
      </c>
      <c r="AJ131" s="280">
        <v>61500</v>
      </c>
      <c r="AK131" s="280">
        <v>61500</v>
      </c>
      <c r="AL131" s="280">
        <v>61500</v>
      </c>
      <c r="AM131" s="280">
        <v>61500</v>
      </c>
    </row>
    <row r="132" spans="1:39" ht="15" x14ac:dyDescent="0.2">
      <c r="A132" s="422"/>
      <c r="B132" s="380"/>
      <c r="C132" s="380" t="s">
        <v>185</v>
      </c>
      <c r="D132" s="11" t="s">
        <v>181</v>
      </c>
      <c r="E132" s="380" t="s">
        <v>182</v>
      </c>
      <c r="F132" s="380" t="s">
        <v>183</v>
      </c>
      <c r="G132" s="437"/>
      <c r="H132" s="332"/>
      <c r="I132" s="280">
        <v>951000</v>
      </c>
      <c r="J132" s="280">
        <v>963200</v>
      </c>
      <c r="K132" s="280">
        <v>975500</v>
      </c>
      <c r="L132" s="280">
        <v>993500</v>
      </c>
      <c r="M132" s="280">
        <v>1011900</v>
      </c>
      <c r="N132" s="280">
        <v>1030600</v>
      </c>
      <c r="O132" s="280">
        <v>1049600</v>
      </c>
      <c r="P132" s="280">
        <v>1069000</v>
      </c>
      <c r="Q132" s="280">
        <v>1069000</v>
      </c>
      <c r="R132" s="280">
        <v>1069000</v>
      </c>
      <c r="S132" s="280">
        <v>1069000</v>
      </c>
      <c r="T132" s="280">
        <v>1069000</v>
      </c>
      <c r="U132" s="280">
        <v>1069000</v>
      </c>
      <c r="V132" s="280">
        <v>1069000</v>
      </c>
      <c r="W132" s="280">
        <v>1069000</v>
      </c>
      <c r="X132" s="280">
        <v>1069000</v>
      </c>
      <c r="Y132" s="280">
        <v>1069000</v>
      </c>
      <c r="Z132" s="280">
        <v>1069000</v>
      </c>
      <c r="AA132" s="280">
        <v>1069000</v>
      </c>
      <c r="AB132" s="280">
        <v>1069000</v>
      </c>
      <c r="AC132" s="280">
        <v>1069000</v>
      </c>
      <c r="AD132" s="280">
        <v>1069000</v>
      </c>
      <c r="AE132" s="280">
        <v>1069000</v>
      </c>
      <c r="AF132" s="280">
        <v>1069000</v>
      </c>
      <c r="AG132" s="280">
        <v>1069000</v>
      </c>
      <c r="AH132" s="280">
        <v>1069000</v>
      </c>
      <c r="AI132" s="280">
        <v>1069000</v>
      </c>
      <c r="AJ132" s="280">
        <v>1069000</v>
      </c>
      <c r="AK132" s="280">
        <v>1069000</v>
      </c>
      <c r="AL132" s="280">
        <v>1069000</v>
      </c>
      <c r="AM132" s="280">
        <v>1069000</v>
      </c>
    </row>
    <row r="133" spans="1:39" ht="15" x14ac:dyDescent="0.2">
      <c r="A133" s="423"/>
      <c r="B133" s="418"/>
      <c r="C133" s="418" t="s">
        <v>170</v>
      </c>
      <c r="D133" s="36" t="s">
        <v>181</v>
      </c>
      <c r="E133" s="418" t="s">
        <v>182</v>
      </c>
      <c r="F133" s="424" t="s">
        <v>183</v>
      </c>
      <c r="G133" s="437"/>
      <c r="H133" s="332"/>
      <c r="I133" s="280">
        <v>228.37600706009624</v>
      </c>
      <c r="J133" s="280">
        <v>232.85396798284322</v>
      </c>
      <c r="K133" s="280">
        <v>237.33192890559022</v>
      </c>
      <c r="L133" s="280">
        <v>240.69039959765044</v>
      </c>
      <c r="M133" s="280">
        <v>245.16836052039741</v>
      </c>
      <c r="N133" s="280">
        <v>249.64632144314442</v>
      </c>
      <c r="O133" s="280">
        <v>253.00479213520464</v>
      </c>
      <c r="P133" s="280">
        <v>257.48275305795164</v>
      </c>
      <c r="Q133" s="280">
        <v>261.96071398069864</v>
      </c>
      <c r="R133" s="280">
        <v>265.31918467275887</v>
      </c>
      <c r="S133" s="280">
        <v>269.79714559550587</v>
      </c>
      <c r="T133" s="280">
        <v>274.27510651825281</v>
      </c>
      <c r="U133" s="280">
        <v>277.63357721031309</v>
      </c>
      <c r="V133" s="280">
        <v>282.11153813306004</v>
      </c>
      <c r="W133" s="280">
        <v>286.58949905580704</v>
      </c>
      <c r="X133" s="280">
        <v>289.94796974786726</v>
      </c>
      <c r="Y133" s="280">
        <v>294.42593067061426</v>
      </c>
      <c r="Z133" s="280">
        <v>298.90389159336127</v>
      </c>
      <c r="AA133" s="280">
        <v>303.38185251610821</v>
      </c>
      <c r="AB133" s="280">
        <v>307.85981343885521</v>
      </c>
      <c r="AC133" s="280">
        <v>312.33777436160221</v>
      </c>
      <c r="AD133" s="280">
        <v>316.81573528434916</v>
      </c>
      <c r="AE133" s="280">
        <v>321.29369620709616</v>
      </c>
      <c r="AF133" s="280">
        <v>325.77165712984316</v>
      </c>
      <c r="AG133" s="280">
        <v>331.36910828327689</v>
      </c>
      <c r="AH133" s="280">
        <v>335.84706920602389</v>
      </c>
      <c r="AI133" s="280">
        <v>340.32503012877083</v>
      </c>
      <c r="AJ133" s="280">
        <v>344.80299105151784</v>
      </c>
      <c r="AK133" s="280">
        <v>349.28095197426484</v>
      </c>
      <c r="AL133" s="280">
        <v>352.63942266632506</v>
      </c>
      <c r="AM133" s="280">
        <v>357.11738358907206</v>
      </c>
    </row>
    <row r="134" spans="1:39" x14ac:dyDescent="0.2">
      <c r="A134" s="380"/>
      <c r="B134" s="380"/>
      <c r="C134" s="65"/>
      <c r="D134" s="11"/>
      <c r="E134" s="380"/>
      <c r="F134" s="380"/>
      <c r="G134" s="380"/>
      <c r="H134" s="329"/>
      <c r="I134" s="329"/>
      <c r="J134" s="329"/>
      <c r="K134" s="329"/>
      <c r="L134" s="329"/>
      <c r="M134" s="329"/>
      <c r="N134" s="329"/>
      <c r="O134" s="329"/>
      <c r="P134" s="329"/>
      <c r="Q134" s="329"/>
      <c r="R134" s="329"/>
      <c r="S134" s="329"/>
      <c r="T134" s="329"/>
      <c r="U134" s="329"/>
      <c r="V134" s="329"/>
      <c r="W134" s="329"/>
      <c r="X134" s="329"/>
      <c r="Y134" s="329"/>
      <c r="Z134" s="329"/>
      <c r="AA134" s="329"/>
      <c r="AB134" s="329"/>
      <c r="AC134" s="329"/>
      <c r="AD134" s="329"/>
      <c r="AE134" s="329"/>
      <c r="AF134" s="329"/>
      <c r="AG134" s="329"/>
      <c r="AH134" s="329"/>
      <c r="AI134" s="329"/>
      <c r="AJ134" s="329"/>
      <c r="AK134" s="380"/>
      <c r="AL134" s="380"/>
      <c r="AM134" s="380"/>
    </row>
    <row r="135" spans="1:39" ht="15" x14ac:dyDescent="0.25">
      <c r="A135" s="2" t="s">
        <v>186</v>
      </c>
      <c r="B135" s="2"/>
      <c r="C135" s="438"/>
      <c r="D135" s="11"/>
      <c r="E135" s="188"/>
      <c r="F135" s="380"/>
      <c r="G135" s="380"/>
      <c r="H135" s="380"/>
      <c r="I135" s="380"/>
      <c r="J135" s="380"/>
      <c r="K135" s="380"/>
      <c r="L135" s="380"/>
      <c r="M135" s="380"/>
      <c r="N135" s="380"/>
      <c r="O135" s="380"/>
      <c r="P135" s="380"/>
      <c r="Q135" s="380"/>
      <c r="R135" s="380"/>
      <c r="S135" s="380"/>
      <c r="T135" s="380"/>
      <c r="U135" s="380"/>
      <c r="V135" s="380"/>
      <c r="W135" s="380"/>
      <c r="X135" s="380"/>
      <c r="Y135" s="380"/>
      <c r="Z135" s="380"/>
      <c r="AA135" s="380"/>
      <c r="AB135" s="380"/>
      <c r="AC135" s="380"/>
      <c r="AD135" s="380"/>
      <c r="AE135" s="380"/>
      <c r="AF135" s="380"/>
      <c r="AG135" s="380"/>
      <c r="AH135" s="380"/>
      <c r="AI135" s="380"/>
      <c r="AJ135" s="380"/>
      <c r="AK135" s="380"/>
      <c r="AL135" s="380"/>
      <c r="AM135" s="380"/>
    </row>
    <row r="136" spans="1:39" x14ac:dyDescent="0.2">
      <c r="A136" s="419"/>
      <c r="B136" s="420"/>
      <c r="C136" s="420" t="s">
        <v>187</v>
      </c>
      <c r="D136" s="187" t="s">
        <v>188</v>
      </c>
      <c r="E136" s="439">
        <f>'REF Traffic'!$W$41+'REF Traffic'!$X$41+'REF Traffic'!$Y$41</f>
        <v>287.5</v>
      </c>
      <c r="F136" s="421" t="s">
        <v>160</v>
      </c>
      <c r="G136" s="380"/>
      <c r="H136" s="380"/>
      <c r="I136" s="380"/>
      <c r="J136" s="380"/>
      <c r="K136" s="380"/>
      <c r="L136" s="380"/>
      <c r="M136" s="380"/>
      <c r="N136" s="380"/>
      <c r="O136" s="380"/>
      <c r="P136" s="380"/>
      <c r="Q136" s="380"/>
      <c r="R136" s="380"/>
      <c r="S136" s="380"/>
      <c r="T136" s="380"/>
      <c r="U136" s="380"/>
      <c r="V136" s="380"/>
      <c r="W136" s="380"/>
      <c r="X136" s="380"/>
      <c r="Y136" s="380"/>
      <c r="Z136" s="380"/>
      <c r="AA136" s="380"/>
      <c r="AB136" s="380"/>
      <c r="AC136" s="380"/>
      <c r="AD136" s="380"/>
      <c r="AE136" s="380"/>
      <c r="AF136" s="380"/>
      <c r="AG136" s="380"/>
      <c r="AH136" s="380"/>
      <c r="AI136" s="380"/>
      <c r="AJ136" s="380"/>
      <c r="AK136" s="380"/>
      <c r="AL136" s="380"/>
      <c r="AM136" s="380"/>
    </row>
    <row r="137" spans="1:39" x14ac:dyDescent="0.2">
      <c r="A137" s="422"/>
      <c r="B137" s="380"/>
      <c r="C137" s="380" t="s">
        <v>187</v>
      </c>
      <c r="D137" s="52" t="s">
        <v>120</v>
      </c>
      <c r="E137" s="428">
        <f>'REF Traffic'!$W$39</f>
        <v>2023</v>
      </c>
      <c r="F137" s="376" t="s">
        <v>160</v>
      </c>
      <c r="G137" s="380"/>
      <c r="H137" s="380"/>
      <c r="I137" s="380"/>
      <c r="J137" s="380"/>
      <c r="K137" s="380"/>
      <c r="L137" s="380"/>
      <c r="M137" s="380"/>
      <c r="N137" s="380"/>
      <c r="O137" s="380"/>
      <c r="P137" s="380"/>
      <c r="Q137" s="380"/>
      <c r="R137" s="380"/>
      <c r="S137" s="380"/>
      <c r="T137" s="380"/>
      <c r="U137" s="380"/>
      <c r="V137" s="380"/>
      <c r="W137" s="380"/>
      <c r="X137" s="380"/>
      <c r="Y137" s="380"/>
      <c r="Z137" s="380"/>
      <c r="AA137" s="380"/>
      <c r="AB137" s="380"/>
      <c r="AC137" s="380"/>
      <c r="AD137" s="380"/>
      <c r="AE137" s="380"/>
      <c r="AF137" s="380"/>
      <c r="AG137" s="380"/>
      <c r="AH137" s="380"/>
      <c r="AI137" s="380"/>
      <c r="AJ137" s="380"/>
      <c r="AK137" s="380"/>
      <c r="AL137" s="380"/>
      <c r="AM137" s="380"/>
    </row>
    <row r="138" spans="1:39" x14ac:dyDescent="0.2">
      <c r="A138" s="422"/>
      <c r="B138" s="380"/>
      <c r="C138" s="380" t="s">
        <v>189</v>
      </c>
      <c r="D138" s="52" t="s">
        <v>188</v>
      </c>
      <c r="E138" s="432">
        <f>'REF Traffic'!$Z$41+'REF Traffic'!$AA$41+'REF Traffic'!$AB$41</f>
        <v>701.25</v>
      </c>
      <c r="F138" s="376" t="s">
        <v>160</v>
      </c>
      <c r="G138" s="380"/>
      <c r="H138" s="380"/>
      <c r="I138" s="380"/>
      <c r="J138" s="380"/>
      <c r="K138" s="380"/>
      <c r="L138" s="380"/>
      <c r="M138" s="380"/>
      <c r="N138" s="380"/>
      <c r="O138" s="380"/>
      <c r="P138" s="380"/>
      <c r="Q138" s="380"/>
      <c r="R138" s="380"/>
      <c r="S138" s="380"/>
      <c r="T138" s="380"/>
      <c r="U138" s="380"/>
      <c r="V138" s="380"/>
      <c r="W138" s="380"/>
      <c r="X138" s="380"/>
      <c r="Y138" s="380"/>
      <c r="Z138" s="380"/>
      <c r="AA138" s="380"/>
      <c r="AB138" s="380"/>
      <c r="AC138" s="380"/>
      <c r="AD138" s="380"/>
      <c r="AE138" s="380"/>
      <c r="AF138" s="380"/>
      <c r="AG138" s="380"/>
      <c r="AH138" s="380"/>
      <c r="AI138" s="380"/>
      <c r="AJ138" s="380"/>
      <c r="AK138" s="380"/>
      <c r="AL138" s="380"/>
      <c r="AM138" s="380"/>
    </row>
    <row r="139" spans="1:39" x14ac:dyDescent="0.2">
      <c r="A139" s="422"/>
      <c r="B139" s="380"/>
      <c r="C139" s="380" t="s">
        <v>189</v>
      </c>
      <c r="D139" s="52" t="s">
        <v>120</v>
      </c>
      <c r="E139" s="428">
        <f>'REF Traffic'!$Z$39</f>
        <v>2046</v>
      </c>
      <c r="F139" s="376" t="s">
        <v>160</v>
      </c>
      <c r="G139" s="380"/>
      <c r="H139" s="380"/>
      <c r="I139" s="380"/>
      <c r="J139" s="380"/>
      <c r="K139" s="380"/>
      <c r="L139" s="380"/>
      <c r="M139" s="380"/>
      <c r="N139" s="380"/>
      <c r="O139" s="380"/>
      <c r="P139" s="380"/>
      <c r="Q139" s="380"/>
      <c r="R139" s="380"/>
      <c r="S139" s="380"/>
      <c r="T139" s="380"/>
      <c r="U139" s="380"/>
      <c r="V139" s="380"/>
      <c r="W139" s="380"/>
      <c r="X139" s="380"/>
      <c r="Y139" s="380"/>
      <c r="Z139" s="380"/>
      <c r="AA139" s="380"/>
      <c r="AB139" s="380"/>
      <c r="AC139" s="380"/>
      <c r="AD139" s="380"/>
      <c r="AE139" s="380"/>
      <c r="AF139" s="380"/>
      <c r="AG139" s="380"/>
      <c r="AH139" s="380"/>
      <c r="AI139" s="380"/>
      <c r="AJ139" s="380"/>
      <c r="AK139" s="380"/>
      <c r="AL139" s="380"/>
      <c r="AM139" s="380"/>
    </row>
    <row r="140" spans="1:39" x14ac:dyDescent="0.2">
      <c r="A140" s="422"/>
      <c r="B140" s="380"/>
      <c r="C140" s="380" t="s">
        <v>190</v>
      </c>
      <c r="D140" s="52" t="s">
        <v>188</v>
      </c>
      <c r="E140" s="432">
        <f>'REF Traffic'!$W$42+'REF Traffic'!$X$42+'REF Traffic'!$Y$42</f>
        <v>245</v>
      </c>
      <c r="F140" s="376" t="s">
        <v>160</v>
      </c>
      <c r="G140" s="380"/>
      <c r="H140" s="380"/>
      <c r="I140" s="380"/>
      <c r="J140" s="380"/>
      <c r="K140" s="380"/>
      <c r="L140" s="380"/>
      <c r="M140" s="380"/>
      <c r="N140" s="380"/>
      <c r="O140" s="380"/>
      <c r="P140" s="380"/>
      <c r="Q140" s="380"/>
      <c r="R140" s="380"/>
      <c r="S140" s="380"/>
      <c r="T140" s="380"/>
      <c r="U140" s="380"/>
      <c r="V140" s="380"/>
      <c r="W140" s="380"/>
      <c r="X140" s="380"/>
      <c r="Y140" s="380"/>
      <c r="Z140" s="380"/>
      <c r="AA140" s="380"/>
      <c r="AB140" s="380"/>
      <c r="AC140" s="380"/>
      <c r="AD140" s="380"/>
      <c r="AE140" s="380"/>
      <c r="AF140" s="380"/>
      <c r="AG140" s="380"/>
      <c r="AH140" s="380"/>
      <c r="AI140" s="380"/>
      <c r="AJ140" s="380"/>
      <c r="AK140" s="380"/>
      <c r="AL140" s="380"/>
      <c r="AM140" s="380"/>
    </row>
    <row r="141" spans="1:39" x14ac:dyDescent="0.2">
      <c r="A141" s="422"/>
      <c r="B141" s="380"/>
      <c r="C141" s="380" t="s">
        <v>190</v>
      </c>
      <c r="D141" s="52" t="s">
        <v>120</v>
      </c>
      <c r="E141" s="428">
        <f>'REF Traffic'!$W$39</f>
        <v>2023</v>
      </c>
      <c r="F141" s="376" t="s">
        <v>160</v>
      </c>
      <c r="G141" s="380"/>
      <c r="H141" s="380"/>
      <c r="I141" s="380"/>
      <c r="J141" s="380"/>
      <c r="K141" s="380"/>
      <c r="L141" s="380"/>
      <c r="M141" s="380"/>
      <c r="N141" s="380"/>
      <c r="O141" s="380"/>
      <c r="P141" s="380"/>
      <c r="Q141" s="380"/>
      <c r="R141" s="380"/>
      <c r="S141" s="380"/>
      <c r="T141" s="380"/>
      <c r="U141" s="380"/>
      <c r="V141" s="380"/>
      <c r="W141" s="380"/>
      <c r="X141" s="380"/>
      <c r="Y141" s="380"/>
      <c r="Z141" s="380"/>
      <c r="AA141" s="380"/>
      <c r="AB141" s="380"/>
      <c r="AC141" s="380"/>
      <c r="AD141" s="380"/>
      <c r="AE141" s="380"/>
      <c r="AF141" s="380"/>
      <c r="AG141" s="380"/>
      <c r="AH141" s="380"/>
      <c r="AI141" s="380"/>
      <c r="AJ141" s="380"/>
      <c r="AK141" s="380"/>
      <c r="AL141" s="380"/>
      <c r="AM141" s="380"/>
    </row>
    <row r="142" spans="1:39" x14ac:dyDescent="0.2">
      <c r="A142" s="422"/>
      <c r="B142" s="380"/>
      <c r="C142" s="380" t="s">
        <v>191</v>
      </c>
      <c r="D142" s="52" t="s">
        <v>188</v>
      </c>
      <c r="E142" s="432">
        <f>'REF Traffic'!$Z$42+'REF Traffic'!$AA$42+'REF Traffic'!$AB$42</f>
        <v>498.75</v>
      </c>
      <c r="F142" s="376" t="s">
        <v>160</v>
      </c>
      <c r="G142" s="380"/>
      <c r="H142" s="380"/>
      <c r="I142" s="380"/>
      <c r="J142" s="380"/>
      <c r="K142" s="380"/>
      <c r="L142" s="380"/>
      <c r="M142" s="380"/>
      <c r="N142" s="380"/>
      <c r="O142" s="380"/>
      <c r="P142" s="380"/>
      <c r="Q142" s="380"/>
      <c r="R142" s="380"/>
      <c r="S142" s="380"/>
      <c r="T142" s="380"/>
      <c r="U142" s="380"/>
      <c r="V142" s="380"/>
      <c r="W142" s="380"/>
      <c r="X142" s="380"/>
      <c r="Y142" s="380"/>
      <c r="Z142" s="380"/>
      <c r="AA142" s="380"/>
      <c r="AB142" s="380"/>
      <c r="AC142" s="380"/>
      <c r="AD142" s="380"/>
      <c r="AE142" s="380"/>
      <c r="AF142" s="380"/>
      <c r="AG142" s="380"/>
      <c r="AH142" s="380"/>
      <c r="AI142" s="380"/>
      <c r="AJ142" s="380"/>
      <c r="AK142" s="380"/>
      <c r="AL142" s="380"/>
      <c r="AM142" s="380"/>
    </row>
    <row r="143" spans="1:39" x14ac:dyDescent="0.2">
      <c r="A143" s="423"/>
      <c r="B143" s="418"/>
      <c r="C143" s="418" t="s">
        <v>191</v>
      </c>
      <c r="D143" s="59" t="s">
        <v>120</v>
      </c>
      <c r="E143" s="436">
        <f>'REF Traffic'!$Z$39</f>
        <v>2046</v>
      </c>
      <c r="F143" s="424" t="s">
        <v>160</v>
      </c>
      <c r="G143" s="380"/>
      <c r="H143" s="380"/>
      <c r="I143" s="380"/>
      <c r="J143" s="380"/>
      <c r="K143" s="380"/>
      <c r="L143" s="380"/>
      <c r="M143" s="380"/>
      <c r="N143" s="380"/>
      <c r="O143" s="380"/>
      <c r="P143" s="380"/>
      <c r="Q143" s="380"/>
      <c r="R143" s="380"/>
      <c r="S143" s="380"/>
      <c r="T143" s="380"/>
      <c r="U143" s="380"/>
      <c r="V143" s="380"/>
      <c r="W143" s="380"/>
      <c r="X143" s="380"/>
      <c r="Y143" s="380"/>
      <c r="Z143" s="380"/>
      <c r="AA143" s="380"/>
      <c r="AB143" s="380"/>
      <c r="AC143" s="380"/>
      <c r="AD143" s="380"/>
      <c r="AE143" s="380"/>
      <c r="AF143" s="380"/>
      <c r="AG143" s="380"/>
      <c r="AH143" s="380"/>
      <c r="AI143" s="380"/>
      <c r="AJ143" s="380"/>
      <c r="AK143" s="380"/>
      <c r="AL143" s="380"/>
      <c r="AM143" s="380"/>
    </row>
    <row r="144" spans="1:39" x14ac:dyDescent="0.2">
      <c r="A144" s="380"/>
      <c r="B144" s="380"/>
      <c r="C144" s="380"/>
      <c r="D144" s="52"/>
      <c r="E144" s="428"/>
      <c r="F144" s="380"/>
      <c r="G144" s="380"/>
      <c r="H144" s="380"/>
      <c r="I144" s="380"/>
      <c r="J144" s="380"/>
      <c r="K144" s="380"/>
      <c r="L144" s="380"/>
      <c r="M144" s="380"/>
      <c r="N144" s="380"/>
      <c r="O144" s="380"/>
      <c r="P144" s="380"/>
      <c r="Q144" s="380"/>
      <c r="R144" s="380"/>
      <c r="S144" s="380"/>
      <c r="T144" s="380"/>
      <c r="U144" s="380"/>
      <c r="V144" s="380"/>
      <c r="W144" s="380"/>
      <c r="X144" s="380"/>
      <c r="Y144" s="380"/>
      <c r="Z144" s="380"/>
      <c r="AA144" s="380"/>
      <c r="AB144" s="380"/>
      <c r="AC144" s="380"/>
      <c r="AD144" s="380"/>
      <c r="AE144" s="380"/>
      <c r="AF144" s="380"/>
      <c r="AG144" s="380"/>
      <c r="AH144" s="380"/>
      <c r="AI144" s="380"/>
      <c r="AJ144" s="380"/>
      <c r="AK144" s="380"/>
      <c r="AL144" s="380"/>
      <c r="AM144" s="380"/>
    </row>
    <row r="145" spans="1:8" ht="15" x14ac:dyDescent="0.25">
      <c r="A145" s="2" t="s">
        <v>192</v>
      </c>
      <c r="B145" s="2"/>
      <c r="C145" s="380"/>
      <c r="D145" s="11"/>
      <c r="E145" s="426"/>
      <c r="F145" s="380"/>
      <c r="G145" s="380"/>
      <c r="H145" s="380"/>
    </row>
    <row r="146" spans="1:8" x14ac:dyDescent="0.2">
      <c r="A146" s="419"/>
      <c r="B146" s="420"/>
      <c r="C146" s="420" t="s">
        <v>193</v>
      </c>
      <c r="D146" s="189" t="s">
        <v>54</v>
      </c>
      <c r="E146" s="420">
        <f>'REF Pedestrian'!$C$8</f>
        <v>2023</v>
      </c>
      <c r="F146" s="421" t="s">
        <v>194</v>
      </c>
      <c r="G146" s="380"/>
      <c r="H146" s="380"/>
    </row>
    <row r="147" spans="1:8" x14ac:dyDescent="0.2">
      <c r="A147" s="422"/>
      <c r="B147" s="380"/>
      <c r="C147" s="380" t="s">
        <v>195</v>
      </c>
      <c r="D147" s="52" t="s">
        <v>196</v>
      </c>
      <c r="E147" s="440">
        <f>'REF Pedestrian'!$C$7</f>
        <v>68.5</v>
      </c>
      <c r="F147" s="376" t="s">
        <v>194</v>
      </c>
      <c r="G147" s="380"/>
      <c r="H147" s="380"/>
    </row>
    <row r="148" spans="1:8" x14ac:dyDescent="0.2">
      <c r="A148" s="422"/>
      <c r="B148" s="380"/>
      <c r="C148" s="380" t="s">
        <v>197</v>
      </c>
      <c r="D148" s="11" t="s">
        <v>76</v>
      </c>
      <c r="E148" s="185">
        <f>'REF Pedestrian'!$D$21*(1+$E$149)</f>
        <v>5.3992539027215708E-3</v>
      </c>
      <c r="F148" s="376" t="s">
        <v>198</v>
      </c>
      <c r="G148" s="380"/>
      <c r="H148" s="380"/>
    </row>
    <row r="149" spans="1:8" x14ac:dyDescent="0.2">
      <c r="A149" s="266"/>
      <c r="B149" s="175">
        <f>IF(E149=0,0,1)</f>
        <v>0</v>
      </c>
      <c r="C149" s="175" t="s">
        <v>197</v>
      </c>
      <c r="D149" s="226" t="s">
        <v>76</v>
      </c>
      <c r="E149" s="225">
        <v>0</v>
      </c>
      <c r="F149" s="227" t="s">
        <v>88</v>
      </c>
      <c r="G149" s="380"/>
      <c r="H149" s="380"/>
    </row>
    <row r="150" spans="1:8" x14ac:dyDescent="0.2">
      <c r="A150" s="422"/>
      <c r="B150" s="380"/>
      <c r="C150" s="438" t="s">
        <v>199</v>
      </c>
      <c r="D150" s="11" t="s">
        <v>200</v>
      </c>
      <c r="E150" s="315">
        <f>'REF USDOT BCA 2025 Guidlines'!C139</f>
        <v>0.11</v>
      </c>
      <c r="F150" s="376" t="s">
        <v>201</v>
      </c>
      <c r="G150" s="380"/>
      <c r="H150" s="380"/>
    </row>
    <row r="151" spans="1:8" x14ac:dyDescent="0.2">
      <c r="A151" s="422"/>
      <c r="B151" s="380"/>
      <c r="C151" s="438" t="s">
        <v>202</v>
      </c>
      <c r="D151" s="11" t="s">
        <v>203</v>
      </c>
      <c r="E151" s="315">
        <f>'REF USDOT BCA 2025 Guidlines'!C145</f>
        <v>0.21</v>
      </c>
      <c r="F151" s="376" t="s">
        <v>201</v>
      </c>
      <c r="G151" s="380"/>
      <c r="H151" s="380"/>
    </row>
    <row r="152" spans="1:8" x14ac:dyDescent="0.2">
      <c r="A152" s="422"/>
      <c r="B152" s="380"/>
      <c r="C152" s="438" t="s">
        <v>204</v>
      </c>
      <c r="D152" s="11" t="s">
        <v>203</v>
      </c>
      <c r="E152" s="315">
        <f>'REF USDOT BCA 2025 Guidlines'!C146</f>
        <v>0.55000000000000004</v>
      </c>
      <c r="F152" s="376" t="s">
        <v>201</v>
      </c>
      <c r="G152" s="380"/>
      <c r="H152" s="380"/>
    </row>
    <row r="153" spans="1:8" x14ac:dyDescent="0.2">
      <c r="A153" s="422"/>
      <c r="B153" s="380"/>
      <c r="C153" s="438" t="s">
        <v>205</v>
      </c>
      <c r="D153" s="11" t="s">
        <v>76</v>
      </c>
      <c r="E153" s="352">
        <v>0.01</v>
      </c>
      <c r="F153" s="376" t="s">
        <v>206</v>
      </c>
      <c r="G153" s="380"/>
      <c r="H153" s="380"/>
    </row>
    <row r="154" spans="1:8" x14ac:dyDescent="0.2">
      <c r="A154" s="422"/>
      <c r="B154" s="380"/>
      <c r="C154" s="438" t="s">
        <v>205</v>
      </c>
      <c r="D154" s="11" t="s">
        <v>76</v>
      </c>
      <c r="E154" s="185">
        <f>E153+E155</f>
        <v>0.01</v>
      </c>
      <c r="F154" s="376" t="s">
        <v>206</v>
      </c>
      <c r="G154" s="380"/>
      <c r="H154" s="380"/>
    </row>
    <row r="155" spans="1:8" ht="14.25" customHeight="1" x14ac:dyDescent="0.2">
      <c r="A155" s="266"/>
      <c r="B155" s="175">
        <f>IF(E155=0,0,1)</f>
        <v>0</v>
      </c>
      <c r="C155" s="175" t="s">
        <v>207</v>
      </c>
      <c r="D155" s="226" t="s">
        <v>76</v>
      </c>
      <c r="E155" s="225">
        <v>0</v>
      </c>
      <c r="F155" s="227" t="s">
        <v>88</v>
      </c>
      <c r="G155" s="380"/>
      <c r="H155" s="435"/>
    </row>
    <row r="156" spans="1:8" ht="14.25" customHeight="1" x14ac:dyDescent="0.2">
      <c r="A156" s="366"/>
      <c r="B156" s="367"/>
      <c r="C156" s="438" t="s">
        <v>208</v>
      </c>
      <c r="D156" s="11" t="s">
        <v>209</v>
      </c>
      <c r="E156" s="357">
        <v>200</v>
      </c>
      <c r="F156" s="376" t="s">
        <v>210</v>
      </c>
      <c r="G156" s="380"/>
      <c r="H156" s="435"/>
    </row>
    <row r="157" spans="1:8" x14ac:dyDescent="0.2">
      <c r="A157" s="175"/>
      <c r="B157" s="175">
        <f>IF(E157=0,0,1)</f>
        <v>0</v>
      </c>
      <c r="C157" s="175" t="s">
        <v>211</v>
      </c>
      <c r="D157" s="226" t="s">
        <v>209</v>
      </c>
      <c r="E157" s="175">
        <v>0</v>
      </c>
      <c r="F157" s="227"/>
      <c r="G157" s="380"/>
      <c r="H157" s="380"/>
    </row>
    <row r="158" spans="1:8" x14ac:dyDescent="0.2">
      <c r="A158" s="422"/>
      <c r="B158" s="380"/>
      <c r="C158" s="438" t="s">
        <v>208</v>
      </c>
      <c r="D158" s="11" t="s">
        <v>209</v>
      </c>
      <c r="E158" s="223">
        <f>E156+E157</f>
        <v>200</v>
      </c>
      <c r="F158" s="376"/>
      <c r="G158" s="380"/>
      <c r="H158" s="380"/>
    </row>
    <row r="159" spans="1:8" x14ac:dyDescent="0.2">
      <c r="A159" s="422"/>
      <c r="B159" s="380"/>
      <c r="C159" s="438" t="s">
        <v>212</v>
      </c>
      <c r="D159" s="11" t="s">
        <v>76</v>
      </c>
      <c r="E159" s="352">
        <v>0.5</v>
      </c>
      <c r="F159" s="376" t="s">
        <v>213</v>
      </c>
      <c r="G159" s="380"/>
      <c r="H159" s="380"/>
    </row>
    <row r="160" spans="1:8" x14ac:dyDescent="0.2">
      <c r="A160" s="422"/>
      <c r="B160" s="380"/>
      <c r="C160" s="438" t="s">
        <v>214</v>
      </c>
      <c r="D160" s="11" t="s">
        <v>76</v>
      </c>
      <c r="E160" s="352">
        <v>0.75</v>
      </c>
      <c r="F160" s="376" t="s">
        <v>213</v>
      </c>
      <c r="G160" s="380"/>
      <c r="H160" s="380"/>
    </row>
    <row r="161" spans="1:6" x14ac:dyDescent="0.2">
      <c r="A161" s="422"/>
      <c r="B161" s="380"/>
      <c r="C161" s="438" t="s">
        <v>215</v>
      </c>
      <c r="D161" s="11" t="s">
        <v>76</v>
      </c>
      <c r="E161" s="352">
        <v>1</v>
      </c>
      <c r="F161" s="376" t="s">
        <v>213</v>
      </c>
    </row>
    <row r="162" spans="1:6" x14ac:dyDescent="0.2">
      <c r="A162" s="422"/>
      <c r="B162" s="380"/>
      <c r="C162" s="438" t="s">
        <v>216</v>
      </c>
      <c r="D162" s="11" t="s">
        <v>217</v>
      </c>
      <c r="E162" s="349">
        <f>'REF USDOT BCA 2025 Guidlines'!D220</f>
        <v>8.06</v>
      </c>
      <c r="F162" s="376" t="s">
        <v>218</v>
      </c>
    </row>
    <row r="163" spans="1:6" x14ac:dyDescent="0.2">
      <c r="A163" s="423"/>
      <c r="B163" s="418"/>
      <c r="C163" s="441" t="s">
        <v>219</v>
      </c>
      <c r="D163" s="36" t="s">
        <v>217</v>
      </c>
      <c r="E163" s="350">
        <f>'REF USDOT BCA 2025 Guidlines'!D221</f>
        <v>7.18</v>
      </c>
      <c r="F163" s="424" t="s">
        <v>218</v>
      </c>
    </row>
    <row r="165" spans="1:6" x14ac:dyDescent="0.2">
      <c r="A165" s="380"/>
      <c r="B165" s="380"/>
      <c r="C165" s="438"/>
      <c r="D165" s="11"/>
      <c r="E165" s="188"/>
      <c r="F165" s="380"/>
    </row>
    <row r="166" spans="1:6" ht="15" x14ac:dyDescent="0.25">
      <c r="A166" s="2" t="s">
        <v>220</v>
      </c>
      <c r="B166" s="2"/>
      <c r="C166" s="380"/>
      <c r="D166" s="10"/>
      <c r="E166" s="380"/>
      <c r="F166" s="380"/>
    </row>
    <row r="167" spans="1:6" x14ac:dyDescent="0.2">
      <c r="A167" s="419"/>
      <c r="B167" s="420"/>
      <c r="C167" s="420" t="s">
        <v>221</v>
      </c>
      <c r="D167" s="34" t="s">
        <v>222</v>
      </c>
      <c r="E167" s="141">
        <v>10</v>
      </c>
      <c r="F167" s="421" t="s">
        <v>223</v>
      </c>
    </row>
    <row r="168" spans="1:6" x14ac:dyDescent="0.2">
      <c r="A168" s="422"/>
      <c r="B168" s="380"/>
      <c r="C168" s="380" t="s">
        <v>224</v>
      </c>
      <c r="D168" s="11" t="s">
        <v>225</v>
      </c>
      <c r="E168" s="139">
        <v>4</v>
      </c>
      <c r="F168" s="376" t="s">
        <v>223</v>
      </c>
    </row>
    <row r="169" spans="1:6" x14ac:dyDescent="0.2">
      <c r="A169" s="422"/>
      <c r="B169" s="380"/>
      <c r="C169" s="380" t="s">
        <v>226</v>
      </c>
      <c r="D169" s="11" t="s">
        <v>222</v>
      </c>
      <c r="E169" s="139">
        <v>276</v>
      </c>
      <c r="F169" s="376" t="s">
        <v>223</v>
      </c>
    </row>
    <row r="170" spans="1:6" x14ac:dyDescent="0.2">
      <c r="A170" s="422"/>
      <c r="B170" s="380"/>
      <c r="C170" s="380" t="s">
        <v>227</v>
      </c>
      <c r="D170" s="11" t="s">
        <v>228</v>
      </c>
      <c r="E170" s="442">
        <f>E167/E169</f>
        <v>3.6231884057971016E-2</v>
      </c>
      <c r="F170" s="376" t="s">
        <v>3</v>
      </c>
    </row>
    <row r="171" spans="1:6" x14ac:dyDescent="0.2">
      <c r="A171" s="422"/>
      <c r="B171" s="380"/>
      <c r="C171" s="380" t="s">
        <v>227</v>
      </c>
      <c r="D171" s="11" t="s">
        <v>229</v>
      </c>
      <c r="E171" s="442">
        <f>E170/E168</f>
        <v>9.057971014492754E-3</v>
      </c>
      <c r="F171" s="376" t="s">
        <v>3</v>
      </c>
    </row>
    <row r="172" spans="1:6" x14ac:dyDescent="0.2">
      <c r="A172" s="422"/>
      <c r="B172" s="380"/>
      <c r="C172" s="380" t="s">
        <v>230</v>
      </c>
      <c r="D172" s="11" t="s">
        <v>86</v>
      </c>
      <c r="E172" s="140">
        <v>0</v>
      </c>
      <c r="F172" s="376" t="s">
        <v>231</v>
      </c>
    </row>
    <row r="173" spans="1:6" x14ac:dyDescent="0.2">
      <c r="A173" s="422"/>
      <c r="B173" s="380"/>
      <c r="C173" s="380" t="s">
        <v>232</v>
      </c>
      <c r="D173" s="11" t="s">
        <v>86</v>
      </c>
      <c r="E173" s="443">
        <f>'REF Bridge Hits'!$F$36</f>
        <v>190584.64521249998</v>
      </c>
      <c r="F173" s="376" t="s">
        <v>223</v>
      </c>
    </row>
    <row r="174" spans="1:6" x14ac:dyDescent="0.2">
      <c r="A174" s="423"/>
      <c r="B174" s="418"/>
      <c r="C174" s="418" t="s">
        <v>233</v>
      </c>
      <c r="D174" s="36" t="s">
        <v>122</v>
      </c>
      <c r="E174" s="444">
        <f>E172+E173</f>
        <v>190584.64521249998</v>
      </c>
      <c r="F174" s="424" t="s">
        <v>3</v>
      </c>
    </row>
    <row r="175" spans="1:6" x14ac:dyDescent="0.2">
      <c r="A175" s="380"/>
      <c r="B175" s="380">
        <f>SUM(B12:B174)</f>
        <v>0</v>
      </c>
      <c r="C175" s="380"/>
      <c r="D175" s="380"/>
      <c r="E175" s="380"/>
      <c r="F175" s="380"/>
    </row>
    <row r="177" spans="3:5" x14ac:dyDescent="0.2">
      <c r="C177" s="428"/>
      <c r="D177" s="11"/>
      <c r="E177" s="435"/>
    </row>
    <row r="178" spans="3:5" x14ac:dyDescent="0.2">
      <c r="C178" s="428"/>
      <c r="D178" s="11"/>
      <c r="E178" s="435"/>
    </row>
    <row r="179" spans="3:5" x14ac:dyDescent="0.2">
      <c r="C179" s="380"/>
      <c r="D179" s="10"/>
      <c r="E179" s="380"/>
    </row>
  </sheetData>
  <phoneticPr fontId="16" type="noConversion"/>
  <conditionalFormatting sqref="D7">
    <cfRule type="cellIs" dxfId="0" priority="1" operator="equal">
      <formula>"YES"</formula>
    </cfRule>
  </conditionalFormatting>
  <pageMargins left="0.7" right="0.7" top="0.75" bottom="0.75" header="0.3" footer="0.3"/>
  <pageSetup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19F91-6AF0-4F80-BDE6-92CB384296FF}">
  <sheetPr>
    <tabColor theme="6"/>
  </sheetPr>
  <dimension ref="B2:D16"/>
  <sheetViews>
    <sheetView zoomScaleNormal="100" workbookViewId="0">
      <selection activeCell="D13" sqref="D13"/>
    </sheetView>
  </sheetViews>
  <sheetFormatPr defaultRowHeight="15" x14ac:dyDescent="0.25"/>
  <cols>
    <col min="2" max="2" width="41.5703125" bestFit="1" customWidth="1"/>
    <col min="4" max="4" width="10.5703125" bestFit="1" customWidth="1"/>
  </cols>
  <sheetData>
    <row r="2" spans="2:4" x14ac:dyDescent="0.25">
      <c r="B2" t="s">
        <v>862</v>
      </c>
    </row>
    <row r="4" spans="2:4" x14ac:dyDescent="0.25">
      <c r="B4" t="s">
        <v>274</v>
      </c>
      <c r="C4">
        <v>2012</v>
      </c>
    </row>
    <row r="5" spans="2:4" x14ac:dyDescent="0.25">
      <c r="B5" t="s">
        <v>863</v>
      </c>
      <c r="C5">
        <v>2021</v>
      </c>
    </row>
    <row r="6" spans="2:4" x14ac:dyDescent="0.25">
      <c r="B6" t="s">
        <v>864</v>
      </c>
      <c r="C6">
        <f>C5-C4</f>
        <v>9</v>
      </c>
    </row>
    <row r="8" spans="2:4" x14ac:dyDescent="0.25">
      <c r="C8" t="s">
        <v>865</v>
      </c>
      <c r="D8" t="s">
        <v>866</v>
      </c>
    </row>
    <row r="9" spans="2:4" x14ac:dyDescent="0.25">
      <c r="B9" t="s">
        <v>121</v>
      </c>
      <c r="C9">
        <v>16</v>
      </c>
      <c r="D9" s="64">
        <f>C9/$C$6</f>
        <v>1.7777777777777777</v>
      </c>
    </row>
    <row r="10" spans="2:4" x14ac:dyDescent="0.25">
      <c r="B10" t="s">
        <v>124</v>
      </c>
      <c r="C10">
        <v>18</v>
      </c>
      <c r="D10" s="64">
        <f>C10/$C$6</f>
        <v>2</v>
      </c>
    </row>
    <row r="11" spans="2:4" x14ac:dyDescent="0.25">
      <c r="B11" t="s">
        <v>288</v>
      </c>
      <c r="C11">
        <v>34</v>
      </c>
      <c r="D11" s="64">
        <f>C11/$C$6</f>
        <v>3.7777777777777777</v>
      </c>
    </row>
    <row r="12" spans="2:4" x14ac:dyDescent="0.25">
      <c r="D12" s="64"/>
    </row>
    <row r="13" spans="2:4" x14ac:dyDescent="0.25">
      <c r="B13" t="s">
        <v>867</v>
      </c>
      <c r="C13" t="s">
        <v>295</v>
      </c>
      <c r="D13" s="232">
        <v>0.52</v>
      </c>
    </row>
    <row r="16" spans="2:4" x14ac:dyDescent="0.25">
      <c r="B16" t="s">
        <v>868</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879C7-13F2-4B99-A187-08D888C0989E}">
  <sheetPr>
    <tabColor theme="2" tint="-0.249977111117893"/>
    <pageSetUpPr fitToPage="1"/>
  </sheetPr>
  <dimension ref="A1:O36"/>
  <sheetViews>
    <sheetView zoomScale="130" zoomScaleNormal="130" workbookViewId="0">
      <pane ySplit="1" topLeftCell="A2" activePane="bottomLeft" state="frozen"/>
      <selection activeCell="K8" sqref="K8"/>
      <selection pane="bottomLeft" activeCell="F36" sqref="F36"/>
    </sheetView>
  </sheetViews>
  <sheetFormatPr defaultRowHeight="12.75" x14ac:dyDescent="0.2"/>
  <cols>
    <col min="1" max="1" width="8.5703125" style="76" customWidth="1"/>
    <col min="2" max="2" width="16.28515625" style="81" customWidth="1"/>
    <col min="3" max="3" width="27.28515625" style="76" customWidth="1"/>
    <col min="4" max="4" width="50.140625" style="76" customWidth="1"/>
    <col min="5" max="5" width="28" style="76" customWidth="1"/>
    <col min="6" max="6" width="18.85546875" style="82" customWidth="1"/>
    <col min="7" max="7" width="20" style="82" customWidth="1"/>
    <col min="8" max="8" width="15.42578125" style="83" customWidth="1"/>
    <col min="9" max="9" width="9.140625" style="84" customWidth="1"/>
    <col min="10" max="10" width="22.42578125" style="76" customWidth="1"/>
    <col min="11" max="11" width="17.5703125" style="76" customWidth="1"/>
    <col min="12" max="13" width="9.140625" style="76"/>
    <col min="14" max="14" width="11.28515625" style="76" bestFit="1" customWidth="1"/>
    <col min="15" max="15" width="12.7109375" style="76" bestFit="1" customWidth="1"/>
    <col min="16" max="256" width="9.140625" style="76"/>
    <col min="257" max="257" width="8.5703125" style="76" customWidth="1"/>
    <col min="258" max="258" width="15" style="76" customWidth="1"/>
    <col min="259" max="259" width="27.28515625" style="76" customWidth="1"/>
    <col min="260" max="260" width="50.140625" style="76" customWidth="1"/>
    <col min="261" max="261" width="28" style="76" customWidth="1"/>
    <col min="262" max="262" width="11.5703125" style="76" customWidth="1"/>
    <col min="263" max="263" width="11.42578125" style="76" customWidth="1"/>
    <col min="264" max="264" width="10.140625" style="76" bestFit="1" customWidth="1"/>
    <col min="265" max="265" width="9.140625" style="76"/>
    <col min="266" max="266" width="22.42578125" style="76" customWidth="1"/>
    <col min="267" max="267" width="10.85546875" style="76" customWidth="1"/>
    <col min="268" max="512" width="9.140625" style="76"/>
    <col min="513" max="513" width="8.5703125" style="76" customWidth="1"/>
    <col min="514" max="514" width="15" style="76" customWidth="1"/>
    <col min="515" max="515" width="27.28515625" style="76" customWidth="1"/>
    <col min="516" max="516" width="50.140625" style="76" customWidth="1"/>
    <col min="517" max="517" width="28" style="76" customWidth="1"/>
    <col min="518" max="518" width="11.5703125" style="76" customWidth="1"/>
    <col min="519" max="519" width="11.42578125" style="76" customWidth="1"/>
    <col min="520" max="520" width="10.140625" style="76" bestFit="1" customWidth="1"/>
    <col min="521" max="521" width="9.140625" style="76"/>
    <col min="522" max="522" width="22.42578125" style="76" customWidth="1"/>
    <col min="523" max="523" width="10.85546875" style="76" customWidth="1"/>
    <col min="524" max="768" width="9.140625" style="76"/>
    <col min="769" max="769" width="8.5703125" style="76" customWidth="1"/>
    <col min="770" max="770" width="15" style="76" customWidth="1"/>
    <col min="771" max="771" width="27.28515625" style="76" customWidth="1"/>
    <col min="772" max="772" width="50.140625" style="76" customWidth="1"/>
    <col min="773" max="773" width="28" style="76" customWidth="1"/>
    <col min="774" max="774" width="11.5703125" style="76" customWidth="1"/>
    <col min="775" max="775" width="11.42578125" style="76" customWidth="1"/>
    <col min="776" max="776" width="10.140625" style="76" bestFit="1" customWidth="1"/>
    <col min="777" max="777" width="9.140625" style="76"/>
    <col min="778" max="778" width="22.42578125" style="76" customWidth="1"/>
    <col min="779" max="779" width="10.85546875" style="76" customWidth="1"/>
    <col min="780" max="1024" width="9.140625" style="76"/>
    <col min="1025" max="1025" width="8.5703125" style="76" customWidth="1"/>
    <col min="1026" max="1026" width="15" style="76" customWidth="1"/>
    <col min="1027" max="1027" width="27.28515625" style="76" customWidth="1"/>
    <col min="1028" max="1028" width="50.140625" style="76" customWidth="1"/>
    <col min="1029" max="1029" width="28" style="76" customWidth="1"/>
    <col min="1030" max="1030" width="11.5703125" style="76" customWidth="1"/>
    <col min="1031" max="1031" width="11.42578125" style="76" customWidth="1"/>
    <col min="1032" max="1032" width="10.140625" style="76" bestFit="1" customWidth="1"/>
    <col min="1033" max="1033" width="9.140625" style="76"/>
    <col min="1034" max="1034" width="22.42578125" style="76" customWidth="1"/>
    <col min="1035" max="1035" width="10.85546875" style="76" customWidth="1"/>
    <col min="1036" max="1280" width="9.140625" style="76"/>
    <col min="1281" max="1281" width="8.5703125" style="76" customWidth="1"/>
    <col min="1282" max="1282" width="15" style="76" customWidth="1"/>
    <col min="1283" max="1283" width="27.28515625" style="76" customWidth="1"/>
    <col min="1284" max="1284" width="50.140625" style="76" customWidth="1"/>
    <col min="1285" max="1285" width="28" style="76" customWidth="1"/>
    <col min="1286" max="1286" width="11.5703125" style="76" customWidth="1"/>
    <col min="1287" max="1287" width="11.42578125" style="76" customWidth="1"/>
    <col min="1288" max="1288" width="10.140625" style="76" bestFit="1" customWidth="1"/>
    <col min="1289" max="1289" width="9.140625" style="76"/>
    <col min="1290" max="1290" width="22.42578125" style="76" customWidth="1"/>
    <col min="1291" max="1291" width="10.85546875" style="76" customWidth="1"/>
    <col min="1292" max="1536" width="9.140625" style="76"/>
    <col min="1537" max="1537" width="8.5703125" style="76" customWidth="1"/>
    <col min="1538" max="1538" width="15" style="76" customWidth="1"/>
    <col min="1539" max="1539" width="27.28515625" style="76" customWidth="1"/>
    <col min="1540" max="1540" width="50.140625" style="76" customWidth="1"/>
    <col min="1541" max="1541" width="28" style="76" customWidth="1"/>
    <col min="1542" max="1542" width="11.5703125" style="76" customWidth="1"/>
    <col min="1543" max="1543" width="11.42578125" style="76" customWidth="1"/>
    <col min="1544" max="1544" width="10.140625" style="76" bestFit="1" customWidth="1"/>
    <col min="1545" max="1545" width="9.140625" style="76"/>
    <col min="1546" max="1546" width="22.42578125" style="76" customWidth="1"/>
    <col min="1547" max="1547" width="10.85546875" style="76" customWidth="1"/>
    <col min="1548" max="1792" width="9.140625" style="76"/>
    <col min="1793" max="1793" width="8.5703125" style="76" customWidth="1"/>
    <col min="1794" max="1794" width="15" style="76" customWidth="1"/>
    <col min="1795" max="1795" width="27.28515625" style="76" customWidth="1"/>
    <col min="1796" max="1796" width="50.140625" style="76" customWidth="1"/>
    <col min="1797" max="1797" width="28" style="76" customWidth="1"/>
    <col min="1798" max="1798" width="11.5703125" style="76" customWidth="1"/>
    <col min="1799" max="1799" width="11.42578125" style="76" customWidth="1"/>
    <col min="1800" max="1800" width="10.140625" style="76" bestFit="1" customWidth="1"/>
    <col min="1801" max="1801" width="9.140625" style="76"/>
    <col min="1802" max="1802" width="22.42578125" style="76" customWidth="1"/>
    <col min="1803" max="1803" width="10.85546875" style="76" customWidth="1"/>
    <col min="1804" max="2048" width="9.140625" style="76"/>
    <col min="2049" max="2049" width="8.5703125" style="76" customWidth="1"/>
    <col min="2050" max="2050" width="15" style="76" customWidth="1"/>
    <col min="2051" max="2051" width="27.28515625" style="76" customWidth="1"/>
    <col min="2052" max="2052" width="50.140625" style="76" customWidth="1"/>
    <col min="2053" max="2053" width="28" style="76" customWidth="1"/>
    <col min="2054" max="2054" width="11.5703125" style="76" customWidth="1"/>
    <col min="2055" max="2055" width="11.42578125" style="76" customWidth="1"/>
    <col min="2056" max="2056" width="10.140625" style="76" bestFit="1" customWidth="1"/>
    <col min="2057" max="2057" width="9.140625" style="76"/>
    <col min="2058" max="2058" width="22.42578125" style="76" customWidth="1"/>
    <col min="2059" max="2059" width="10.85546875" style="76" customWidth="1"/>
    <col min="2060" max="2304" width="9.140625" style="76"/>
    <col min="2305" max="2305" width="8.5703125" style="76" customWidth="1"/>
    <col min="2306" max="2306" width="15" style="76" customWidth="1"/>
    <col min="2307" max="2307" width="27.28515625" style="76" customWidth="1"/>
    <col min="2308" max="2308" width="50.140625" style="76" customWidth="1"/>
    <col min="2309" max="2309" width="28" style="76" customWidth="1"/>
    <col min="2310" max="2310" width="11.5703125" style="76" customWidth="1"/>
    <col min="2311" max="2311" width="11.42578125" style="76" customWidth="1"/>
    <col min="2312" max="2312" width="10.140625" style="76" bestFit="1" customWidth="1"/>
    <col min="2313" max="2313" width="9.140625" style="76"/>
    <col min="2314" max="2314" width="22.42578125" style="76" customWidth="1"/>
    <col min="2315" max="2315" width="10.85546875" style="76" customWidth="1"/>
    <col min="2316" max="2560" width="9.140625" style="76"/>
    <col min="2561" max="2561" width="8.5703125" style="76" customWidth="1"/>
    <col min="2562" max="2562" width="15" style="76" customWidth="1"/>
    <col min="2563" max="2563" width="27.28515625" style="76" customWidth="1"/>
    <col min="2564" max="2564" width="50.140625" style="76" customWidth="1"/>
    <col min="2565" max="2565" width="28" style="76" customWidth="1"/>
    <col min="2566" max="2566" width="11.5703125" style="76" customWidth="1"/>
    <col min="2567" max="2567" width="11.42578125" style="76" customWidth="1"/>
    <col min="2568" max="2568" width="10.140625" style="76" bestFit="1" customWidth="1"/>
    <col min="2569" max="2569" width="9.140625" style="76"/>
    <col min="2570" max="2570" width="22.42578125" style="76" customWidth="1"/>
    <col min="2571" max="2571" width="10.85546875" style="76" customWidth="1"/>
    <col min="2572" max="2816" width="9.140625" style="76"/>
    <col min="2817" max="2817" width="8.5703125" style="76" customWidth="1"/>
    <col min="2818" max="2818" width="15" style="76" customWidth="1"/>
    <col min="2819" max="2819" width="27.28515625" style="76" customWidth="1"/>
    <col min="2820" max="2820" width="50.140625" style="76" customWidth="1"/>
    <col min="2821" max="2821" width="28" style="76" customWidth="1"/>
    <col min="2822" max="2822" width="11.5703125" style="76" customWidth="1"/>
    <col min="2823" max="2823" width="11.42578125" style="76" customWidth="1"/>
    <col min="2824" max="2824" width="10.140625" style="76" bestFit="1" customWidth="1"/>
    <col min="2825" max="2825" width="9.140625" style="76"/>
    <col min="2826" max="2826" width="22.42578125" style="76" customWidth="1"/>
    <col min="2827" max="2827" width="10.85546875" style="76" customWidth="1"/>
    <col min="2828" max="3072" width="9.140625" style="76"/>
    <col min="3073" max="3073" width="8.5703125" style="76" customWidth="1"/>
    <col min="3074" max="3074" width="15" style="76" customWidth="1"/>
    <col min="3075" max="3075" width="27.28515625" style="76" customWidth="1"/>
    <col min="3076" max="3076" width="50.140625" style="76" customWidth="1"/>
    <col min="3077" max="3077" width="28" style="76" customWidth="1"/>
    <col min="3078" max="3078" width="11.5703125" style="76" customWidth="1"/>
    <col min="3079" max="3079" width="11.42578125" style="76" customWidth="1"/>
    <col min="3080" max="3080" width="10.140625" style="76" bestFit="1" customWidth="1"/>
    <col min="3081" max="3081" width="9.140625" style="76"/>
    <col min="3082" max="3082" width="22.42578125" style="76" customWidth="1"/>
    <col min="3083" max="3083" width="10.85546875" style="76" customWidth="1"/>
    <col min="3084" max="3328" width="9.140625" style="76"/>
    <col min="3329" max="3329" width="8.5703125" style="76" customWidth="1"/>
    <col min="3330" max="3330" width="15" style="76" customWidth="1"/>
    <col min="3331" max="3331" width="27.28515625" style="76" customWidth="1"/>
    <col min="3332" max="3332" width="50.140625" style="76" customWidth="1"/>
    <col min="3333" max="3333" width="28" style="76" customWidth="1"/>
    <col min="3334" max="3334" width="11.5703125" style="76" customWidth="1"/>
    <col min="3335" max="3335" width="11.42578125" style="76" customWidth="1"/>
    <col min="3336" max="3336" width="10.140625" style="76" bestFit="1" customWidth="1"/>
    <col min="3337" max="3337" width="9.140625" style="76"/>
    <col min="3338" max="3338" width="22.42578125" style="76" customWidth="1"/>
    <col min="3339" max="3339" width="10.85546875" style="76" customWidth="1"/>
    <col min="3340" max="3584" width="9.140625" style="76"/>
    <col min="3585" max="3585" width="8.5703125" style="76" customWidth="1"/>
    <col min="3586" max="3586" width="15" style="76" customWidth="1"/>
    <col min="3587" max="3587" width="27.28515625" style="76" customWidth="1"/>
    <col min="3588" max="3588" width="50.140625" style="76" customWidth="1"/>
    <col min="3589" max="3589" width="28" style="76" customWidth="1"/>
    <col min="3590" max="3590" width="11.5703125" style="76" customWidth="1"/>
    <col min="3591" max="3591" width="11.42578125" style="76" customWidth="1"/>
    <col min="3592" max="3592" width="10.140625" style="76" bestFit="1" customWidth="1"/>
    <col min="3593" max="3593" width="9.140625" style="76"/>
    <col min="3594" max="3594" width="22.42578125" style="76" customWidth="1"/>
    <col min="3595" max="3595" width="10.85546875" style="76" customWidth="1"/>
    <col min="3596" max="3840" width="9.140625" style="76"/>
    <col min="3841" max="3841" width="8.5703125" style="76" customWidth="1"/>
    <col min="3842" max="3842" width="15" style="76" customWidth="1"/>
    <col min="3843" max="3843" width="27.28515625" style="76" customWidth="1"/>
    <col min="3844" max="3844" width="50.140625" style="76" customWidth="1"/>
    <col min="3845" max="3845" width="28" style="76" customWidth="1"/>
    <col min="3846" max="3846" width="11.5703125" style="76" customWidth="1"/>
    <col min="3847" max="3847" width="11.42578125" style="76" customWidth="1"/>
    <col min="3848" max="3848" width="10.140625" style="76" bestFit="1" customWidth="1"/>
    <col min="3849" max="3849" width="9.140625" style="76"/>
    <col min="3850" max="3850" width="22.42578125" style="76" customWidth="1"/>
    <col min="3851" max="3851" width="10.85546875" style="76" customWidth="1"/>
    <col min="3852" max="4096" width="9.140625" style="76"/>
    <col min="4097" max="4097" width="8.5703125" style="76" customWidth="1"/>
    <col min="4098" max="4098" width="15" style="76" customWidth="1"/>
    <col min="4099" max="4099" width="27.28515625" style="76" customWidth="1"/>
    <col min="4100" max="4100" width="50.140625" style="76" customWidth="1"/>
    <col min="4101" max="4101" width="28" style="76" customWidth="1"/>
    <col min="4102" max="4102" width="11.5703125" style="76" customWidth="1"/>
    <col min="4103" max="4103" width="11.42578125" style="76" customWidth="1"/>
    <col min="4104" max="4104" width="10.140625" style="76" bestFit="1" customWidth="1"/>
    <col min="4105" max="4105" width="9.140625" style="76"/>
    <col min="4106" max="4106" width="22.42578125" style="76" customWidth="1"/>
    <col min="4107" max="4107" width="10.85546875" style="76" customWidth="1"/>
    <col min="4108" max="4352" width="9.140625" style="76"/>
    <col min="4353" max="4353" width="8.5703125" style="76" customWidth="1"/>
    <col min="4354" max="4354" width="15" style="76" customWidth="1"/>
    <col min="4355" max="4355" width="27.28515625" style="76" customWidth="1"/>
    <col min="4356" max="4356" width="50.140625" style="76" customWidth="1"/>
    <col min="4357" max="4357" width="28" style="76" customWidth="1"/>
    <col min="4358" max="4358" width="11.5703125" style="76" customWidth="1"/>
    <col min="4359" max="4359" width="11.42578125" style="76" customWidth="1"/>
    <col min="4360" max="4360" width="10.140625" style="76" bestFit="1" customWidth="1"/>
    <col min="4361" max="4361" width="9.140625" style="76"/>
    <col min="4362" max="4362" width="22.42578125" style="76" customWidth="1"/>
    <col min="4363" max="4363" width="10.85546875" style="76" customWidth="1"/>
    <col min="4364" max="4608" width="9.140625" style="76"/>
    <col min="4609" max="4609" width="8.5703125" style="76" customWidth="1"/>
    <col min="4610" max="4610" width="15" style="76" customWidth="1"/>
    <col min="4611" max="4611" width="27.28515625" style="76" customWidth="1"/>
    <col min="4612" max="4612" width="50.140625" style="76" customWidth="1"/>
    <col min="4613" max="4613" width="28" style="76" customWidth="1"/>
    <col min="4614" max="4614" width="11.5703125" style="76" customWidth="1"/>
    <col min="4615" max="4615" width="11.42578125" style="76" customWidth="1"/>
    <col min="4616" max="4616" width="10.140625" style="76" bestFit="1" customWidth="1"/>
    <col min="4617" max="4617" width="9.140625" style="76"/>
    <col min="4618" max="4618" width="22.42578125" style="76" customWidth="1"/>
    <col min="4619" max="4619" width="10.85546875" style="76" customWidth="1"/>
    <col min="4620" max="4864" width="9.140625" style="76"/>
    <col min="4865" max="4865" width="8.5703125" style="76" customWidth="1"/>
    <col min="4866" max="4866" width="15" style="76" customWidth="1"/>
    <col min="4867" max="4867" width="27.28515625" style="76" customWidth="1"/>
    <col min="4868" max="4868" width="50.140625" style="76" customWidth="1"/>
    <col min="4869" max="4869" width="28" style="76" customWidth="1"/>
    <col min="4870" max="4870" width="11.5703125" style="76" customWidth="1"/>
    <col min="4871" max="4871" width="11.42578125" style="76" customWidth="1"/>
    <col min="4872" max="4872" width="10.140625" style="76" bestFit="1" customWidth="1"/>
    <col min="4873" max="4873" width="9.140625" style="76"/>
    <col min="4874" max="4874" width="22.42578125" style="76" customWidth="1"/>
    <col min="4875" max="4875" width="10.85546875" style="76" customWidth="1"/>
    <col min="4876" max="5120" width="9.140625" style="76"/>
    <col min="5121" max="5121" width="8.5703125" style="76" customWidth="1"/>
    <col min="5122" max="5122" width="15" style="76" customWidth="1"/>
    <col min="5123" max="5123" width="27.28515625" style="76" customWidth="1"/>
    <col min="5124" max="5124" width="50.140625" style="76" customWidth="1"/>
    <col min="5125" max="5125" width="28" style="76" customWidth="1"/>
    <col min="5126" max="5126" width="11.5703125" style="76" customWidth="1"/>
    <col min="5127" max="5127" width="11.42578125" style="76" customWidth="1"/>
    <col min="5128" max="5128" width="10.140625" style="76" bestFit="1" customWidth="1"/>
    <col min="5129" max="5129" width="9.140625" style="76"/>
    <col min="5130" max="5130" width="22.42578125" style="76" customWidth="1"/>
    <col min="5131" max="5131" width="10.85546875" style="76" customWidth="1"/>
    <col min="5132" max="5376" width="9.140625" style="76"/>
    <col min="5377" max="5377" width="8.5703125" style="76" customWidth="1"/>
    <col min="5378" max="5378" width="15" style="76" customWidth="1"/>
    <col min="5379" max="5379" width="27.28515625" style="76" customWidth="1"/>
    <col min="5380" max="5380" width="50.140625" style="76" customWidth="1"/>
    <col min="5381" max="5381" width="28" style="76" customWidth="1"/>
    <col min="5382" max="5382" width="11.5703125" style="76" customWidth="1"/>
    <col min="5383" max="5383" width="11.42578125" style="76" customWidth="1"/>
    <col min="5384" max="5384" width="10.140625" style="76" bestFit="1" customWidth="1"/>
    <col min="5385" max="5385" width="9.140625" style="76"/>
    <col min="5386" max="5386" width="22.42578125" style="76" customWidth="1"/>
    <col min="5387" max="5387" width="10.85546875" style="76" customWidth="1"/>
    <col min="5388" max="5632" width="9.140625" style="76"/>
    <col min="5633" max="5633" width="8.5703125" style="76" customWidth="1"/>
    <col min="5634" max="5634" width="15" style="76" customWidth="1"/>
    <col min="5635" max="5635" width="27.28515625" style="76" customWidth="1"/>
    <col min="5636" max="5636" width="50.140625" style="76" customWidth="1"/>
    <col min="5637" max="5637" width="28" style="76" customWidth="1"/>
    <col min="5638" max="5638" width="11.5703125" style="76" customWidth="1"/>
    <col min="5639" max="5639" width="11.42578125" style="76" customWidth="1"/>
    <col min="5640" max="5640" width="10.140625" style="76" bestFit="1" customWidth="1"/>
    <col min="5641" max="5641" width="9.140625" style="76"/>
    <col min="5642" max="5642" width="22.42578125" style="76" customWidth="1"/>
    <col min="5643" max="5643" width="10.85546875" style="76" customWidth="1"/>
    <col min="5644" max="5888" width="9.140625" style="76"/>
    <col min="5889" max="5889" width="8.5703125" style="76" customWidth="1"/>
    <col min="5890" max="5890" width="15" style="76" customWidth="1"/>
    <col min="5891" max="5891" width="27.28515625" style="76" customWidth="1"/>
    <col min="5892" max="5892" width="50.140625" style="76" customWidth="1"/>
    <col min="5893" max="5893" width="28" style="76" customWidth="1"/>
    <col min="5894" max="5894" width="11.5703125" style="76" customWidth="1"/>
    <col min="5895" max="5895" width="11.42578125" style="76" customWidth="1"/>
    <col min="5896" max="5896" width="10.140625" style="76" bestFit="1" customWidth="1"/>
    <col min="5897" max="5897" width="9.140625" style="76"/>
    <col min="5898" max="5898" width="22.42578125" style="76" customWidth="1"/>
    <col min="5899" max="5899" width="10.85546875" style="76" customWidth="1"/>
    <col min="5900" max="6144" width="9.140625" style="76"/>
    <col min="6145" max="6145" width="8.5703125" style="76" customWidth="1"/>
    <col min="6146" max="6146" width="15" style="76" customWidth="1"/>
    <col min="6147" max="6147" width="27.28515625" style="76" customWidth="1"/>
    <col min="6148" max="6148" width="50.140625" style="76" customWidth="1"/>
    <col min="6149" max="6149" width="28" style="76" customWidth="1"/>
    <col min="6150" max="6150" width="11.5703125" style="76" customWidth="1"/>
    <col min="6151" max="6151" width="11.42578125" style="76" customWidth="1"/>
    <col min="6152" max="6152" width="10.140625" style="76" bestFit="1" customWidth="1"/>
    <col min="6153" max="6153" width="9.140625" style="76"/>
    <col min="6154" max="6154" width="22.42578125" style="76" customWidth="1"/>
    <col min="6155" max="6155" width="10.85546875" style="76" customWidth="1"/>
    <col min="6156" max="6400" width="9.140625" style="76"/>
    <col min="6401" max="6401" width="8.5703125" style="76" customWidth="1"/>
    <col min="6402" max="6402" width="15" style="76" customWidth="1"/>
    <col min="6403" max="6403" width="27.28515625" style="76" customWidth="1"/>
    <col min="6404" max="6404" width="50.140625" style="76" customWidth="1"/>
    <col min="6405" max="6405" width="28" style="76" customWidth="1"/>
    <col min="6406" max="6406" width="11.5703125" style="76" customWidth="1"/>
    <col min="6407" max="6407" width="11.42578125" style="76" customWidth="1"/>
    <col min="6408" max="6408" width="10.140625" style="76" bestFit="1" customWidth="1"/>
    <col min="6409" max="6409" width="9.140625" style="76"/>
    <col min="6410" max="6410" width="22.42578125" style="76" customWidth="1"/>
    <col min="6411" max="6411" width="10.85546875" style="76" customWidth="1"/>
    <col min="6412" max="6656" width="9.140625" style="76"/>
    <col min="6657" max="6657" width="8.5703125" style="76" customWidth="1"/>
    <col min="6658" max="6658" width="15" style="76" customWidth="1"/>
    <col min="6659" max="6659" width="27.28515625" style="76" customWidth="1"/>
    <col min="6660" max="6660" width="50.140625" style="76" customWidth="1"/>
    <col min="6661" max="6661" width="28" style="76" customWidth="1"/>
    <col min="6662" max="6662" width="11.5703125" style="76" customWidth="1"/>
    <col min="6663" max="6663" width="11.42578125" style="76" customWidth="1"/>
    <col min="6664" max="6664" width="10.140625" style="76" bestFit="1" customWidth="1"/>
    <col min="6665" max="6665" width="9.140625" style="76"/>
    <col min="6666" max="6666" width="22.42578125" style="76" customWidth="1"/>
    <col min="6667" max="6667" width="10.85546875" style="76" customWidth="1"/>
    <col min="6668" max="6912" width="9.140625" style="76"/>
    <col min="6913" max="6913" width="8.5703125" style="76" customWidth="1"/>
    <col min="6914" max="6914" width="15" style="76" customWidth="1"/>
    <col min="6915" max="6915" width="27.28515625" style="76" customWidth="1"/>
    <col min="6916" max="6916" width="50.140625" style="76" customWidth="1"/>
    <col min="6917" max="6917" width="28" style="76" customWidth="1"/>
    <col min="6918" max="6918" width="11.5703125" style="76" customWidth="1"/>
    <col min="6919" max="6919" width="11.42578125" style="76" customWidth="1"/>
    <col min="6920" max="6920" width="10.140625" style="76" bestFit="1" customWidth="1"/>
    <col min="6921" max="6921" width="9.140625" style="76"/>
    <col min="6922" max="6922" width="22.42578125" style="76" customWidth="1"/>
    <col min="6923" max="6923" width="10.85546875" style="76" customWidth="1"/>
    <col min="6924" max="7168" width="9.140625" style="76"/>
    <col min="7169" max="7169" width="8.5703125" style="76" customWidth="1"/>
    <col min="7170" max="7170" width="15" style="76" customWidth="1"/>
    <col min="7171" max="7171" width="27.28515625" style="76" customWidth="1"/>
    <col min="7172" max="7172" width="50.140625" style="76" customWidth="1"/>
    <col min="7173" max="7173" width="28" style="76" customWidth="1"/>
    <col min="7174" max="7174" width="11.5703125" style="76" customWidth="1"/>
    <col min="7175" max="7175" width="11.42578125" style="76" customWidth="1"/>
    <col min="7176" max="7176" width="10.140625" style="76" bestFit="1" customWidth="1"/>
    <col min="7177" max="7177" width="9.140625" style="76"/>
    <col min="7178" max="7178" width="22.42578125" style="76" customWidth="1"/>
    <col min="7179" max="7179" width="10.85546875" style="76" customWidth="1"/>
    <col min="7180" max="7424" width="9.140625" style="76"/>
    <col min="7425" max="7425" width="8.5703125" style="76" customWidth="1"/>
    <col min="7426" max="7426" width="15" style="76" customWidth="1"/>
    <col min="7427" max="7427" width="27.28515625" style="76" customWidth="1"/>
    <col min="7428" max="7428" width="50.140625" style="76" customWidth="1"/>
    <col min="7429" max="7429" width="28" style="76" customWidth="1"/>
    <col min="7430" max="7430" width="11.5703125" style="76" customWidth="1"/>
    <col min="7431" max="7431" width="11.42578125" style="76" customWidth="1"/>
    <col min="7432" max="7432" width="10.140625" style="76" bestFit="1" customWidth="1"/>
    <col min="7433" max="7433" width="9.140625" style="76"/>
    <col min="7434" max="7434" width="22.42578125" style="76" customWidth="1"/>
    <col min="7435" max="7435" width="10.85546875" style="76" customWidth="1"/>
    <col min="7436" max="7680" width="9.140625" style="76"/>
    <col min="7681" max="7681" width="8.5703125" style="76" customWidth="1"/>
    <col min="7682" max="7682" width="15" style="76" customWidth="1"/>
    <col min="7683" max="7683" width="27.28515625" style="76" customWidth="1"/>
    <col min="7684" max="7684" width="50.140625" style="76" customWidth="1"/>
    <col min="7685" max="7685" width="28" style="76" customWidth="1"/>
    <col min="7686" max="7686" width="11.5703125" style="76" customWidth="1"/>
    <col min="7687" max="7687" width="11.42578125" style="76" customWidth="1"/>
    <col min="7688" max="7688" width="10.140625" style="76" bestFit="1" customWidth="1"/>
    <col min="7689" max="7689" width="9.140625" style="76"/>
    <col min="7690" max="7690" width="22.42578125" style="76" customWidth="1"/>
    <col min="7691" max="7691" width="10.85546875" style="76" customWidth="1"/>
    <col min="7692" max="7936" width="9.140625" style="76"/>
    <col min="7937" max="7937" width="8.5703125" style="76" customWidth="1"/>
    <col min="7938" max="7938" width="15" style="76" customWidth="1"/>
    <col min="7939" max="7939" width="27.28515625" style="76" customWidth="1"/>
    <col min="7940" max="7940" width="50.140625" style="76" customWidth="1"/>
    <col min="7941" max="7941" width="28" style="76" customWidth="1"/>
    <col min="7942" max="7942" width="11.5703125" style="76" customWidth="1"/>
    <col min="7943" max="7943" width="11.42578125" style="76" customWidth="1"/>
    <col min="7944" max="7944" width="10.140625" style="76" bestFit="1" customWidth="1"/>
    <col min="7945" max="7945" width="9.140625" style="76"/>
    <col min="7946" max="7946" width="22.42578125" style="76" customWidth="1"/>
    <col min="7947" max="7947" width="10.85546875" style="76" customWidth="1"/>
    <col min="7948" max="8192" width="9.140625" style="76"/>
    <col min="8193" max="8193" width="8.5703125" style="76" customWidth="1"/>
    <col min="8194" max="8194" width="15" style="76" customWidth="1"/>
    <col min="8195" max="8195" width="27.28515625" style="76" customWidth="1"/>
    <col min="8196" max="8196" width="50.140625" style="76" customWidth="1"/>
    <col min="8197" max="8197" width="28" style="76" customWidth="1"/>
    <col min="8198" max="8198" width="11.5703125" style="76" customWidth="1"/>
    <col min="8199" max="8199" width="11.42578125" style="76" customWidth="1"/>
    <col min="8200" max="8200" width="10.140625" style="76" bestFit="1" customWidth="1"/>
    <col min="8201" max="8201" width="9.140625" style="76"/>
    <col min="8202" max="8202" width="22.42578125" style="76" customWidth="1"/>
    <col min="8203" max="8203" width="10.85546875" style="76" customWidth="1"/>
    <col min="8204" max="8448" width="9.140625" style="76"/>
    <col min="8449" max="8449" width="8.5703125" style="76" customWidth="1"/>
    <col min="8450" max="8450" width="15" style="76" customWidth="1"/>
    <col min="8451" max="8451" width="27.28515625" style="76" customWidth="1"/>
    <col min="8452" max="8452" width="50.140625" style="76" customWidth="1"/>
    <col min="8453" max="8453" width="28" style="76" customWidth="1"/>
    <col min="8454" max="8454" width="11.5703125" style="76" customWidth="1"/>
    <col min="8455" max="8455" width="11.42578125" style="76" customWidth="1"/>
    <col min="8456" max="8456" width="10.140625" style="76" bestFit="1" customWidth="1"/>
    <col min="8457" max="8457" width="9.140625" style="76"/>
    <col min="8458" max="8458" width="22.42578125" style="76" customWidth="1"/>
    <col min="8459" max="8459" width="10.85546875" style="76" customWidth="1"/>
    <col min="8460" max="8704" width="9.140625" style="76"/>
    <col min="8705" max="8705" width="8.5703125" style="76" customWidth="1"/>
    <col min="8706" max="8706" width="15" style="76" customWidth="1"/>
    <col min="8707" max="8707" width="27.28515625" style="76" customWidth="1"/>
    <col min="8708" max="8708" width="50.140625" style="76" customWidth="1"/>
    <col min="8709" max="8709" width="28" style="76" customWidth="1"/>
    <col min="8710" max="8710" width="11.5703125" style="76" customWidth="1"/>
    <col min="8711" max="8711" width="11.42578125" style="76" customWidth="1"/>
    <col min="8712" max="8712" width="10.140625" style="76" bestFit="1" customWidth="1"/>
    <col min="8713" max="8713" width="9.140625" style="76"/>
    <col min="8714" max="8714" width="22.42578125" style="76" customWidth="1"/>
    <col min="8715" max="8715" width="10.85546875" style="76" customWidth="1"/>
    <col min="8716" max="8960" width="9.140625" style="76"/>
    <col min="8961" max="8961" width="8.5703125" style="76" customWidth="1"/>
    <col min="8962" max="8962" width="15" style="76" customWidth="1"/>
    <col min="8963" max="8963" width="27.28515625" style="76" customWidth="1"/>
    <col min="8964" max="8964" width="50.140625" style="76" customWidth="1"/>
    <col min="8965" max="8965" width="28" style="76" customWidth="1"/>
    <col min="8966" max="8966" width="11.5703125" style="76" customWidth="1"/>
    <col min="8967" max="8967" width="11.42578125" style="76" customWidth="1"/>
    <col min="8968" max="8968" width="10.140625" style="76" bestFit="1" customWidth="1"/>
    <col min="8969" max="8969" width="9.140625" style="76"/>
    <col min="8970" max="8970" width="22.42578125" style="76" customWidth="1"/>
    <col min="8971" max="8971" width="10.85546875" style="76" customWidth="1"/>
    <col min="8972" max="9216" width="9.140625" style="76"/>
    <col min="9217" max="9217" width="8.5703125" style="76" customWidth="1"/>
    <col min="9218" max="9218" width="15" style="76" customWidth="1"/>
    <col min="9219" max="9219" width="27.28515625" style="76" customWidth="1"/>
    <col min="9220" max="9220" width="50.140625" style="76" customWidth="1"/>
    <col min="9221" max="9221" width="28" style="76" customWidth="1"/>
    <col min="9222" max="9222" width="11.5703125" style="76" customWidth="1"/>
    <col min="9223" max="9223" width="11.42578125" style="76" customWidth="1"/>
    <col min="9224" max="9224" width="10.140625" style="76" bestFit="1" customWidth="1"/>
    <col min="9225" max="9225" width="9.140625" style="76"/>
    <col min="9226" max="9226" width="22.42578125" style="76" customWidth="1"/>
    <col min="9227" max="9227" width="10.85546875" style="76" customWidth="1"/>
    <col min="9228" max="9472" width="9.140625" style="76"/>
    <col min="9473" max="9473" width="8.5703125" style="76" customWidth="1"/>
    <col min="9474" max="9474" width="15" style="76" customWidth="1"/>
    <col min="9475" max="9475" width="27.28515625" style="76" customWidth="1"/>
    <col min="9476" max="9476" width="50.140625" style="76" customWidth="1"/>
    <col min="9477" max="9477" width="28" style="76" customWidth="1"/>
    <col min="9478" max="9478" width="11.5703125" style="76" customWidth="1"/>
    <col min="9479" max="9479" width="11.42578125" style="76" customWidth="1"/>
    <col min="9480" max="9480" width="10.140625" style="76" bestFit="1" customWidth="1"/>
    <col min="9481" max="9481" width="9.140625" style="76"/>
    <col min="9482" max="9482" width="22.42578125" style="76" customWidth="1"/>
    <col min="9483" max="9483" width="10.85546875" style="76" customWidth="1"/>
    <col min="9484" max="9728" width="9.140625" style="76"/>
    <col min="9729" max="9729" width="8.5703125" style="76" customWidth="1"/>
    <col min="9730" max="9730" width="15" style="76" customWidth="1"/>
    <col min="9731" max="9731" width="27.28515625" style="76" customWidth="1"/>
    <col min="9732" max="9732" width="50.140625" style="76" customWidth="1"/>
    <col min="9733" max="9733" width="28" style="76" customWidth="1"/>
    <col min="9734" max="9734" width="11.5703125" style="76" customWidth="1"/>
    <col min="9735" max="9735" width="11.42578125" style="76" customWidth="1"/>
    <col min="9736" max="9736" width="10.140625" style="76" bestFit="1" customWidth="1"/>
    <col min="9737" max="9737" width="9.140625" style="76"/>
    <col min="9738" max="9738" width="22.42578125" style="76" customWidth="1"/>
    <col min="9739" max="9739" width="10.85546875" style="76" customWidth="1"/>
    <col min="9740" max="9984" width="9.140625" style="76"/>
    <col min="9985" max="9985" width="8.5703125" style="76" customWidth="1"/>
    <col min="9986" max="9986" width="15" style="76" customWidth="1"/>
    <col min="9987" max="9987" width="27.28515625" style="76" customWidth="1"/>
    <col min="9988" max="9988" width="50.140625" style="76" customWidth="1"/>
    <col min="9989" max="9989" width="28" style="76" customWidth="1"/>
    <col min="9990" max="9990" width="11.5703125" style="76" customWidth="1"/>
    <col min="9991" max="9991" width="11.42578125" style="76" customWidth="1"/>
    <col min="9992" max="9992" width="10.140625" style="76" bestFit="1" customWidth="1"/>
    <col min="9993" max="9993" width="9.140625" style="76"/>
    <col min="9994" max="9994" width="22.42578125" style="76" customWidth="1"/>
    <col min="9995" max="9995" width="10.85546875" style="76" customWidth="1"/>
    <col min="9996" max="10240" width="9.140625" style="76"/>
    <col min="10241" max="10241" width="8.5703125" style="76" customWidth="1"/>
    <col min="10242" max="10242" width="15" style="76" customWidth="1"/>
    <col min="10243" max="10243" width="27.28515625" style="76" customWidth="1"/>
    <col min="10244" max="10244" width="50.140625" style="76" customWidth="1"/>
    <col min="10245" max="10245" width="28" style="76" customWidth="1"/>
    <col min="10246" max="10246" width="11.5703125" style="76" customWidth="1"/>
    <col min="10247" max="10247" width="11.42578125" style="76" customWidth="1"/>
    <col min="10248" max="10248" width="10.140625" style="76" bestFit="1" customWidth="1"/>
    <col min="10249" max="10249" width="9.140625" style="76"/>
    <col min="10250" max="10250" width="22.42578125" style="76" customWidth="1"/>
    <col min="10251" max="10251" width="10.85546875" style="76" customWidth="1"/>
    <col min="10252" max="10496" width="9.140625" style="76"/>
    <col min="10497" max="10497" width="8.5703125" style="76" customWidth="1"/>
    <col min="10498" max="10498" width="15" style="76" customWidth="1"/>
    <col min="10499" max="10499" width="27.28515625" style="76" customWidth="1"/>
    <col min="10500" max="10500" width="50.140625" style="76" customWidth="1"/>
    <col min="10501" max="10501" width="28" style="76" customWidth="1"/>
    <col min="10502" max="10502" width="11.5703125" style="76" customWidth="1"/>
    <col min="10503" max="10503" width="11.42578125" style="76" customWidth="1"/>
    <col min="10504" max="10504" width="10.140625" style="76" bestFit="1" customWidth="1"/>
    <col min="10505" max="10505" width="9.140625" style="76"/>
    <col min="10506" max="10506" width="22.42578125" style="76" customWidth="1"/>
    <col min="10507" max="10507" width="10.85546875" style="76" customWidth="1"/>
    <col min="10508" max="10752" width="9.140625" style="76"/>
    <col min="10753" max="10753" width="8.5703125" style="76" customWidth="1"/>
    <col min="10754" max="10754" width="15" style="76" customWidth="1"/>
    <col min="10755" max="10755" width="27.28515625" style="76" customWidth="1"/>
    <col min="10756" max="10756" width="50.140625" style="76" customWidth="1"/>
    <col min="10757" max="10757" width="28" style="76" customWidth="1"/>
    <col min="10758" max="10758" width="11.5703125" style="76" customWidth="1"/>
    <col min="10759" max="10759" width="11.42578125" style="76" customWidth="1"/>
    <col min="10760" max="10760" width="10.140625" style="76" bestFit="1" customWidth="1"/>
    <col min="10761" max="10761" width="9.140625" style="76"/>
    <col min="10762" max="10762" width="22.42578125" style="76" customWidth="1"/>
    <col min="10763" max="10763" width="10.85546875" style="76" customWidth="1"/>
    <col min="10764" max="11008" width="9.140625" style="76"/>
    <col min="11009" max="11009" width="8.5703125" style="76" customWidth="1"/>
    <col min="11010" max="11010" width="15" style="76" customWidth="1"/>
    <col min="11011" max="11011" width="27.28515625" style="76" customWidth="1"/>
    <col min="11012" max="11012" width="50.140625" style="76" customWidth="1"/>
    <col min="11013" max="11013" width="28" style="76" customWidth="1"/>
    <col min="11014" max="11014" width="11.5703125" style="76" customWidth="1"/>
    <col min="11015" max="11015" width="11.42578125" style="76" customWidth="1"/>
    <col min="11016" max="11016" width="10.140625" style="76" bestFit="1" customWidth="1"/>
    <col min="11017" max="11017" width="9.140625" style="76"/>
    <col min="11018" max="11018" width="22.42578125" style="76" customWidth="1"/>
    <col min="11019" max="11019" width="10.85546875" style="76" customWidth="1"/>
    <col min="11020" max="11264" width="9.140625" style="76"/>
    <col min="11265" max="11265" width="8.5703125" style="76" customWidth="1"/>
    <col min="11266" max="11266" width="15" style="76" customWidth="1"/>
    <col min="11267" max="11267" width="27.28515625" style="76" customWidth="1"/>
    <col min="11268" max="11268" width="50.140625" style="76" customWidth="1"/>
    <col min="11269" max="11269" width="28" style="76" customWidth="1"/>
    <col min="11270" max="11270" width="11.5703125" style="76" customWidth="1"/>
    <col min="11271" max="11271" width="11.42578125" style="76" customWidth="1"/>
    <col min="11272" max="11272" width="10.140625" style="76" bestFit="1" customWidth="1"/>
    <col min="11273" max="11273" width="9.140625" style="76"/>
    <col min="11274" max="11274" width="22.42578125" style="76" customWidth="1"/>
    <col min="11275" max="11275" width="10.85546875" style="76" customWidth="1"/>
    <col min="11276" max="11520" width="9.140625" style="76"/>
    <col min="11521" max="11521" width="8.5703125" style="76" customWidth="1"/>
    <col min="11522" max="11522" width="15" style="76" customWidth="1"/>
    <col min="11523" max="11523" width="27.28515625" style="76" customWidth="1"/>
    <col min="11524" max="11524" width="50.140625" style="76" customWidth="1"/>
    <col min="11525" max="11525" width="28" style="76" customWidth="1"/>
    <col min="11526" max="11526" width="11.5703125" style="76" customWidth="1"/>
    <col min="11527" max="11527" width="11.42578125" style="76" customWidth="1"/>
    <col min="11528" max="11528" width="10.140625" style="76" bestFit="1" customWidth="1"/>
    <col min="11529" max="11529" width="9.140625" style="76"/>
    <col min="11530" max="11530" width="22.42578125" style="76" customWidth="1"/>
    <col min="11531" max="11531" width="10.85546875" style="76" customWidth="1"/>
    <col min="11532" max="11776" width="9.140625" style="76"/>
    <col min="11777" max="11777" width="8.5703125" style="76" customWidth="1"/>
    <col min="11778" max="11778" width="15" style="76" customWidth="1"/>
    <col min="11779" max="11779" width="27.28515625" style="76" customWidth="1"/>
    <col min="11780" max="11780" width="50.140625" style="76" customWidth="1"/>
    <col min="11781" max="11781" width="28" style="76" customWidth="1"/>
    <col min="11782" max="11782" width="11.5703125" style="76" customWidth="1"/>
    <col min="11783" max="11783" width="11.42578125" style="76" customWidth="1"/>
    <col min="11784" max="11784" width="10.140625" style="76" bestFit="1" customWidth="1"/>
    <col min="11785" max="11785" width="9.140625" style="76"/>
    <col min="11786" max="11786" width="22.42578125" style="76" customWidth="1"/>
    <col min="11787" max="11787" width="10.85546875" style="76" customWidth="1"/>
    <col min="11788" max="12032" width="9.140625" style="76"/>
    <col min="12033" max="12033" width="8.5703125" style="76" customWidth="1"/>
    <col min="12034" max="12034" width="15" style="76" customWidth="1"/>
    <col min="12035" max="12035" width="27.28515625" style="76" customWidth="1"/>
    <col min="12036" max="12036" width="50.140625" style="76" customWidth="1"/>
    <col min="12037" max="12037" width="28" style="76" customWidth="1"/>
    <col min="12038" max="12038" width="11.5703125" style="76" customWidth="1"/>
    <col min="12039" max="12039" width="11.42578125" style="76" customWidth="1"/>
    <col min="12040" max="12040" width="10.140625" style="76" bestFit="1" customWidth="1"/>
    <col min="12041" max="12041" width="9.140625" style="76"/>
    <col min="12042" max="12042" width="22.42578125" style="76" customWidth="1"/>
    <col min="12043" max="12043" width="10.85546875" style="76" customWidth="1"/>
    <col min="12044" max="12288" width="9.140625" style="76"/>
    <col min="12289" max="12289" width="8.5703125" style="76" customWidth="1"/>
    <col min="12290" max="12290" width="15" style="76" customWidth="1"/>
    <col min="12291" max="12291" width="27.28515625" style="76" customWidth="1"/>
    <col min="12292" max="12292" width="50.140625" style="76" customWidth="1"/>
    <col min="12293" max="12293" width="28" style="76" customWidth="1"/>
    <col min="12294" max="12294" width="11.5703125" style="76" customWidth="1"/>
    <col min="12295" max="12295" width="11.42578125" style="76" customWidth="1"/>
    <col min="12296" max="12296" width="10.140625" style="76" bestFit="1" customWidth="1"/>
    <col min="12297" max="12297" width="9.140625" style="76"/>
    <col min="12298" max="12298" width="22.42578125" style="76" customWidth="1"/>
    <col min="12299" max="12299" width="10.85546875" style="76" customWidth="1"/>
    <col min="12300" max="12544" width="9.140625" style="76"/>
    <col min="12545" max="12545" width="8.5703125" style="76" customWidth="1"/>
    <col min="12546" max="12546" width="15" style="76" customWidth="1"/>
    <col min="12547" max="12547" width="27.28515625" style="76" customWidth="1"/>
    <col min="12548" max="12548" width="50.140625" style="76" customWidth="1"/>
    <col min="12549" max="12549" width="28" style="76" customWidth="1"/>
    <col min="12550" max="12550" width="11.5703125" style="76" customWidth="1"/>
    <col min="12551" max="12551" width="11.42578125" style="76" customWidth="1"/>
    <col min="12552" max="12552" width="10.140625" style="76" bestFit="1" customWidth="1"/>
    <col min="12553" max="12553" width="9.140625" style="76"/>
    <col min="12554" max="12554" width="22.42578125" style="76" customWidth="1"/>
    <col min="12555" max="12555" width="10.85546875" style="76" customWidth="1"/>
    <col min="12556" max="12800" width="9.140625" style="76"/>
    <col min="12801" max="12801" width="8.5703125" style="76" customWidth="1"/>
    <col min="12802" max="12802" width="15" style="76" customWidth="1"/>
    <col min="12803" max="12803" width="27.28515625" style="76" customWidth="1"/>
    <col min="12804" max="12804" width="50.140625" style="76" customWidth="1"/>
    <col min="12805" max="12805" width="28" style="76" customWidth="1"/>
    <col min="12806" max="12806" width="11.5703125" style="76" customWidth="1"/>
    <col min="12807" max="12807" width="11.42578125" style="76" customWidth="1"/>
    <col min="12808" max="12808" width="10.140625" style="76" bestFit="1" customWidth="1"/>
    <col min="12809" max="12809" width="9.140625" style="76"/>
    <col min="12810" max="12810" width="22.42578125" style="76" customWidth="1"/>
    <col min="12811" max="12811" width="10.85546875" style="76" customWidth="1"/>
    <col min="12812" max="13056" width="9.140625" style="76"/>
    <col min="13057" max="13057" width="8.5703125" style="76" customWidth="1"/>
    <col min="13058" max="13058" width="15" style="76" customWidth="1"/>
    <col min="13059" max="13059" width="27.28515625" style="76" customWidth="1"/>
    <col min="13060" max="13060" width="50.140625" style="76" customWidth="1"/>
    <col min="13061" max="13061" width="28" style="76" customWidth="1"/>
    <col min="13062" max="13062" width="11.5703125" style="76" customWidth="1"/>
    <col min="13063" max="13063" width="11.42578125" style="76" customWidth="1"/>
    <col min="13064" max="13064" width="10.140625" style="76" bestFit="1" customWidth="1"/>
    <col min="13065" max="13065" width="9.140625" style="76"/>
    <col min="13066" max="13066" width="22.42578125" style="76" customWidth="1"/>
    <col min="13067" max="13067" width="10.85546875" style="76" customWidth="1"/>
    <col min="13068" max="13312" width="9.140625" style="76"/>
    <col min="13313" max="13313" width="8.5703125" style="76" customWidth="1"/>
    <col min="13314" max="13314" width="15" style="76" customWidth="1"/>
    <col min="13315" max="13315" width="27.28515625" style="76" customWidth="1"/>
    <col min="13316" max="13316" width="50.140625" style="76" customWidth="1"/>
    <col min="13317" max="13317" width="28" style="76" customWidth="1"/>
    <col min="13318" max="13318" width="11.5703125" style="76" customWidth="1"/>
    <col min="13319" max="13319" width="11.42578125" style="76" customWidth="1"/>
    <col min="13320" max="13320" width="10.140625" style="76" bestFit="1" customWidth="1"/>
    <col min="13321" max="13321" width="9.140625" style="76"/>
    <col min="13322" max="13322" width="22.42578125" style="76" customWidth="1"/>
    <col min="13323" max="13323" width="10.85546875" style="76" customWidth="1"/>
    <col min="13324" max="13568" width="9.140625" style="76"/>
    <col min="13569" max="13569" width="8.5703125" style="76" customWidth="1"/>
    <col min="13570" max="13570" width="15" style="76" customWidth="1"/>
    <col min="13571" max="13571" width="27.28515625" style="76" customWidth="1"/>
    <col min="13572" max="13572" width="50.140625" style="76" customWidth="1"/>
    <col min="13573" max="13573" width="28" style="76" customWidth="1"/>
    <col min="13574" max="13574" width="11.5703125" style="76" customWidth="1"/>
    <col min="13575" max="13575" width="11.42578125" style="76" customWidth="1"/>
    <col min="13576" max="13576" width="10.140625" style="76" bestFit="1" customWidth="1"/>
    <col min="13577" max="13577" width="9.140625" style="76"/>
    <col min="13578" max="13578" width="22.42578125" style="76" customWidth="1"/>
    <col min="13579" max="13579" width="10.85546875" style="76" customWidth="1"/>
    <col min="13580" max="13824" width="9.140625" style="76"/>
    <col min="13825" max="13825" width="8.5703125" style="76" customWidth="1"/>
    <col min="13826" max="13826" width="15" style="76" customWidth="1"/>
    <col min="13827" max="13827" width="27.28515625" style="76" customWidth="1"/>
    <col min="13828" max="13828" width="50.140625" style="76" customWidth="1"/>
    <col min="13829" max="13829" width="28" style="76" customWidth="1"/>
    <col min="13830" max="13830" width="11.5703125" style="76" customWidth="1"/>
    <col min="13831" max="13831" width="11.42578125" style="76" customWidth="1"/>
    <col min="13832" max="13832" width="10.140625" style="76" bestFit="1" customWidth="1"/>
    <col min="13833" max="13833" width="9.140625" style="76"/>
    <col min="13834" max="13834" width="22.42578125" style="76" customWidth="1"/>
    <col min="13835" max="13835" width="10.85546875" style="76" customWidth="1"/>
    <col min="13836" max="14080" width="9.140625" style="76"/>
    <col min="14081" max="14081" width="8.5703125" style="76" customWidth="1"/>
    <col min="14082" max="14082" width="15" style="76" customWidth="1"/>
    <col min="14083" max="14083" width="27.28515625" style="76" customWidth="1"/>
    <col min="14084" max="14084" width="50.140625" style="76" customWidth="1"/>
    <col min="14085" max="14085" width="28" style="76" customWidth="1"/>
    <col min="14086" max="14086" width="11.5703125" style="76" customWidth="1"/>
    <col min="14087" max="14087" width="11.42578125" style="76" customWidth="1"/>
    <col min="14088" max="14088" width="10.140625" style="76" bestFit="1" customWidth="1"/>
    <col min="14089" max="14089" width="9.140625" style="76"/>
    <col min="14090" max="14090" width="22.42578125" style="76" customWidth="1"/>
    <col min="14091" max="14091" width="10.85546875" style="76" customWidth="1"/>
    <col min="14092" max="14336" width="9.140625" style="76"/>
    <col min="14337" max="14337" width="8.5703125" style="76" customWidth="1"/>
    <col min="14338" max="14338" width="15" style="76" customWidth="1"/>
    <col min="14339" max="14339" width="27.28515625" style="76" customWidth="1"/>
    <col min="14340" max="14340" width="50.140625" style="76" customWidth="1"/>
    <col min="14341" max="14341" width="28" style="76" customWidth="1"/>
    <col min="14342" max="14342" width="11.5703125" style="76" customWidth="1"/>
    <col min="14343" max="14343" width="11.42578125" style="76" customWidth="1"/>
    <col min="14344" max="14344" width="10.140625" style="76" bestFit="1" customWidth="1"/>
    <col min="14345" max="14345" width="9.140625" style="76"/>
    <col min="14346" max="14346" width="22.42578125" style="76" customWidth="1"/>
    <col min="14347" max="14347" width="10.85546875" style="76" customWidth="1"/>
    <col min="14348" max="14592" width="9.140625" style="76"/>
    <col min="14593" max="14593" width="8.5703125" style="76" customWidth="1"/>
    <col min="14594" max="14594" width="15" style="76" customWidth="1"/>
    <col min="14595" max="14595" width="27.28515625" style="76" customWidth="1"/>
    <col min="14596" max="14596" width="50.140625" style="76" customWidth="1"/>
    <col min="14597" max="14597" width="28" style="76" customWidth="1"/>
    <col min="14598" max="14598" width="11.5703125" style="76" customWidth="1"/>
    <col min="14599" max="14599" width="11.42578125" style="76" customWidth="1"/>
    <col min="14600" max="14600" width="10.140625" style="76" bestFit="1" customWidth="1"/>
    <col min="14601" max="14601" width="9.140625" style="76"/>
    <col min="14602" max="14602" width="22.42578125" style="76" customWidth="1"/>
    <col min="14603" max="14603" width="10.85546875" style="76" customWidth="1"/>
    <col min="14604" max="14848" width="9.140625" style="76"/>
    <col min="14849" max="14849" width="8.5703125" style="76" customWidth="1"/>
    <col min="14850" max="14850" width="15" style="76" customWidth="1"/>
    <col min="14851" max="14851" width="27.28515625" style="76" customWidth="1"/>
    <col min="14852" max="14852" width="50.140625" style="76" customWidth="1"/>
    <col min="14853" max="14853" width="28" style="76" customWidth="1"/>
    <col min="14854" max="14854" width="11.5703125" style="76" customWidth="1"/>
    <col min="14855" max="14855" width="11.42578125" style="76" customWidth="1"/>
    <col min="14856" max="14856" width="10.140625" style="76" bestFit="1" customWidth="1"/>
    <col min="14857" max="14857" width="9.140625" style="76"/>
    <col min="14858" max="14858" width="22.42578125" style="76" customWidth="1"/>
    <col min="14859" max="14859" width="10.85546875" style="76" customWidth="1"/>
    <col min="14860" max="15104" width="9.140625" style="76"/>
    <col min="15105" max="15105" width="8.5703125" style="76" customWidth="1"/>
    <col min="15106" max="15106" width="15" style="76" customWidth="1"/>
    <col min="15107" max="15107" width="27.28515625" style="76" customWidth="1"/>
    <col min="15108" max="15108" width="50.140625" style="76" customWidth="1"/>
    <col min="15109" max="15109" width="28" style="76" customWidth="1"/>
    <col min="15110" max="15110" width="11.5703125" style="76" customWidth="1"/>
    <col min="15111" max="15111" width="11.42578125" style="76" customWidth="1"/>
    <col min="15112" max="15112" width="10.140625" style="76" bestFit="1" customWidth="1"/>
    <col min="15113" max="15113" width="9.140625" style="76"/>
    <col min="15114" max="15114" width="22.42578125" style="76" customWidth="1"/>
    <col min="15115" max="15115" width="10.85546875" style="76" customWidth="1"/>
    <col min="15116" max="15360" width="9.140625" style="76"/>
    <col min="15361" max="15361" width="8.5703125" style="76" customWidth="1"/>
    <col min="15362" max="15362" width="15" style="76" customWidth="1"/>
    <col min="15363" max="15363" width="27.28515625" style="76" customWidth="1"/>
    <col min="15364" max="15364" width="50.140625" style="76" customWidth="1"/>
    <col min="15365" max="15365" width="28" style="76" customWidth="1"/>
    <col min="15366" max="15366" width="11.5703125" style="76" customWidth="1"/>
    <col min="15367" max="15367" width="11.42578125" style="76" customWidth="1"/>
    <col min="15368" max="15368" width="10.140625" style="76" bestFit="1" customWidth="1"/>
    <col min="15369" max="15369" width="9.140625" style="76"/>
    <col min="15370" max="15370" width="22.42578125" style="76" customWidth="1"/>
    <col min="15371" max="15371" width="10.85546875" style="76" customWidth="1"/>
    <col min="15372" max="15616" width="9.140625" style="76"/>
    <col min="15617" max="15617" width="8.5703125" style="76" customWidth="1"/>
    <col min="15618" max="15618" width="15" style="76" customWidth="1"/>
    <col min="15619" max="15619" width="27.28515625" style="76" customWidth="1"/>
    <col min="15620" max="15620" width="50.140625" style="76" customWidth="1"/>
    <col min="15621" max="15621" width="28" style="76" customWidth="1"/>
    <col min="15622" max="15622" width="11.5703125" style="76" customWidth="1"/>
    <col min="15623" max="15623" width="11.42578125" style="76" customWidth="1"/>
    <col min="15624" max="15624" width="10.140625" style="76" bestFit="1" customWidth="1"/>
    <col min="15625" max="15625" width="9.140625" style="76"/>
    <col min="15626" max="15626" width="22.42578125" style="76" customWidth="1"/>
    <col min="15627" max="15627" width="10.85546875" style="76" customWidth="1"/>
    <col min="15628" max="15872" width="9.140625" style="76"/>
    <col min="15873" max="15873" width="8.5703125" style="76" customWidth="1"/>
    <col min="15874" max="15874" width="15" style="76" customWidth="1"/>
    <col min="15875" max="15875" width="27.28515625" style="76" customWidth="1"/>
    <col min="15876" max="15876" width="50.140625" style="76" customWidth="1"/>
    <col min="15877" max="15877" width="28" style="76" customWidth="1"/>
    <col min="15878" max="15878" width="11.5703125" style="76" customWidth="1"/>
    <col min="15879" max="15879" width="11.42578125" style="76" customWidth="1"/>
    <col min="15880" max="15880" width="10.140625" style="76" bestFit="1" customWidth="1"/>
    <col min="15881" max="15881" width="9.140625" style="76"/>
    <col min="15882" max="15882" width="22.42578125" style="76" customWidth="1"/>
    <col min="15883" max="15883" width="10.85546875" style="76" customWidth="1"/>
    <col min="15884" max="16128" width="9.140625" style="76"/>
    <col min="16129" max="16129" width="8.5703125" style="76" customWidth="1"/>
    <col min="16130" max="16130" width="15" style="76" customWidth="1"/>
    <col min="16131" max="16131" width="27.28515625" style="76" customWidth="1"/>
    <col min="16132" max="16132" width="50.140625" style="76" customWidth="1"/>
    <col min="16133" max="16133" width="28" style="76" customWidth="1"/>
    <col min="16134" max="16134" width="11.5703125" style="76" customWidth="1"/>
    <col min="16135" max="16135" width="11.42578125" style="76" customWidth="1"/>
    <col min="16136" max="16136" width="10.140625" style="76" bestFit="1" customWidth="1"/>
    <col min="16137" max="16137" width="9.140625" style="76"/>
    <col min="16138" max="16138" width="22.42578125" style="76" customWidth="1"/>
    <col min="16139" max="16139" width="10.85546875" style="76" customWidth="1"/>
    <col min="16140" max="16384" width="9.140625" style="76"/>
  </cols>
  <sheetData>
    <row r="1" spans="1:15" s="66" customFormat="1" x14ac:dyDescent="0.2">
      <c r="A1" s="91" t="s">
        <v>869</v>
      </c>
      <c r="B1" s="92" t="s">
        <v>870</v>
      </c>
      <c r="C1" s="93" t="s">
        <v>871</v>
      </c>
      <c r="D1" s="94" t="s">
        <v>872</v>
      </c>
      <c r="E1" s="95" t="s">
        <v>873</v>
      </c>
      <c r="F1" s="96" t="s">
        <v>874</v>
      </c>
      <c r="G1" s="96" t="s">
        <v>875</v>
      </c>
      <c r="H1" s="97" t="s">
        <v>876</v>
      </c>
      <c r="I1" s="93" t="s">
        <v>877</v>
      </c>
      <c r="J1" s="95" t="s">
        <v>878</v>
      </c>
      <c r="K1" s="98" t="s">
        <v>879</v>
      </c>
      <c r="M1" s="66" t="s">
        <v>54</v>
      </c>
      <c r="N1" s="66" t="s">
        <v>644</v>
      </c>
      <c r="O1" s="66" t="s">
        <v>880</v>
      </c>
    </row>
    <row r="2" spans="1:15" s="72" customFormat="1" x14ac:dyDescent="0.2">
      <c r="A2" s="85" t="s">
        <v>881</v>
      </c>
      <c r="B2" s="68">
        <v>43207</v>
      </c>
      <c r="C2" s="67" t="s">
        <v>882</v>
      </c>
      <c r="D2" s="67" t="s">
        <v>883</v>
      </c>
      <c r="E2" s="67" t="s">
        <v>884</v>
      </c>
      <c r="F2" s="69">
        <v>158179.98000000001</v>
      </c>
      <c r="G2" s="69">
        <v>158179.98000000001</v>
      </c>
      <c r="H2" s="70">
        <v>43795</v>
      </c>
      <c r="I2" s="71">
        <v>8</v>
      </c>
      <c r="J2" s="67" t="s">
        <v>885</v>
      </c>
      <c r="K2" s="87" t="s">
        <v>886</v>
      </c>
      <c r="M2" s="72">
        <f>YEAR(Table1[[#This Row],[DATE INCIDENT]])</f>
        <v>2018</v>
      </c>
      <c r="N2" s="72">
        <f>VLOOKUP(M2,'REF GDP Deflator'!$C$36:$E$56,3)</f>
        <v>1.18</v>
      </c>
      <c r="O2" s="326">
        <f>Table1[[#This Row],[AMOUNT CLAIMED]]*N2</f>
        <v>186652.37640000001</v>
      </c>
    </row>
    <row r="3" spans="1:15" hidden="1" x14ac:dyDescent="0.2">
      <c r="A3" s="85" t="s">
        <v>887</v>
      </c>
      <c r="B3" s="68">
        <v>43201</v>
      </c>
      <c r="C3" s="67" t="s">
        <v>888</v>
      </c>
      <c r="D3" s="67" t="s">
        <v>889</v>
      </c>
      <c r="E3" s="73" t="s">
        <v>890</v>
      </c>
      <c r="F3" s="69">
        <v>122211.58</v>
      </c>
      <c r="G3" s="69">
        <v>122211.58</v>
      </c>
      <c r="H3" s="70">
        <v>44498</v>
      </c>
      <c r="I3" s="74">
        <v>4</v>
      </c>
      <c r="J3" s="75" t="s">
        <v>891</v>
      </c>
      <c r="K3" s="88" t="s">
        <v>892</v>
      </c>
      <c r="O3" s="326">
        <f>Table1[[#This Row],[AMOUNT CLAIMED]]*N3</f>
        <v>0</v>
      </c>
    </row>
    <row r="4" spans="1:15" s="72" customFormat="1" x14ac:dyDescent="0.2">
      <c r="A4" s="85" t="s">
        <v>893</v>
      </c>
      <c r="B4" s="68">
        <v>43263</v>
      </c>
      <c r="C4" s="67" t="s">
        <v>894</v>
      </c>
      <c r="D4" s="67" t="s">
        <v>895</v>
      </c>
      <c r="E4" s="67" t="s">
        <v>896</v>
      </c>
      <c r="F4" s="69">
        <v>21753.42</v>
      </c>
      <c r="G4" s="69">
        <v>21753.42</v>
      </c>
      <c r="H4" s="70">
        <v>43819</v>
      </c>
      <c r="I4" s="71">
        <v>8</v>
      </c>
      <c r="J4" s="67" t="s">
        <v>897</v>
      </c>
      <c r="K4" s="87" t="s">
        <v>898</v>
      </c>
      <c r="M4" s="72">
        <f>YEAR(Table1[[#This Row],[DATE INCIDENT]])</f>
        <v>2018</v>
      </c>
      <c r="N4" s="72">
        <f>VLOOKUP(M4,'REF GDP Deflator'!$C$36:$E$56,3)</f>
        <v>1.18</v>
      </c>
      <c r="O4" s="326">
        <f>Table1[[#This Row],[AMOUNT CLAIMED]]*N4</f>
        <v>25669.035599999996</v>
      </c>
    </row>
    <row r="5" spans="1:15" s="72" customFormat="1" hidden="1" x14ac:dyDescent="0.2">
      <c r="A5" s="85" t="s">
        <v>899</v>
      </c>
      <c r="B5" s="68">
        <v>43403</v>
      </c>
      <c r="C5" s="67" t="s">
        <v>900</v>
      </c>
      <c r="D5" s="67" t="s">
        <v>901</v>
      </c>
      <c r="E5" s="67" t="s">
        <v>902</v>
      </c>
      <c r="F5" s="69">
        <v>200583.47</v>
      </c>
      <c r="G5" s="69"/>
      <c r="H5" s="70"/>
      <c r="I5" s="71">
        <v>7</v>
      </c>
      <c r="J5" s="67" t="s">
        <v>903</v>
      </c>
      <c r="K5" s="89" t="s">
        <v>892</v>
      </c>
      <c r="M5" s="72">
        <f>YEAR(Table1[[#This Row],[DATE INCIDENT]])</f>
        <v>2018</v>
      </c>
      <c r="N5" s="72">
        <f>VLOOKUP(M5,'REF GDP Deflator'!$C$36:$E$56,3)</f>
        <v>1.18</v>
      </c>
      <c r="O5" s="326">
        <f>Table1[[#This Row],[AMOUNT CLAIMED]]*N5</f>
        <v>236688.49459999998</v>
      </c>
    </row>
    <row r="6" spans="1:15" s="72" customFormat="1" hidden="1" x14ac:dyDescent="0.2">
      <c r="A6" s="85" t="s">
        <v>904</v>
      </c>
      <c r="B6" s="68">
        <v>43452</v>
      </c>
      <c r="C6" s="67" t="s">
        <v>905</v>
      </c>
      <c r="D6" s="67" t="s">
        <v>906</v>
      </c>
      <c r="E6" s="67" t="s">
        <v>907</v>
      </c>
      <c r="F6" s="69">
        <v>107564.64</v>
      </c>
      <c r="G6" s="69">
        <v>107564.64</v>
      </c>
      <c r="H6" s="70">
        <v>44644</v>
      </c>
      <c r="I6" s="71">
        <v>3</v>
      </c>
      <c r="J6" s="67" t="s">
        <v>908</v>
      </c>
      <c r="K6" s="87" t="s">
        <v>909</v>
      </c>
      <c r="M6" s="72">
        <f>YEAR(Table1[[#This Row],[DATE INCIDENT]])</f>
        <v>2018</v>
      </c>
      <c r="N6" s="72">
        <f>VLOOKUP(M6,'REF GDP Deflator'!$C$36:$E$56,3)</f>
        <v>1.18</v>
      </c>
      <c r="O6" s="326">
        <f>Table1[[#This Row],[AMOUNT CLAIMED]]*N6</f>
        <v>126926.27519999999</v>
      </c>
    </row>
    <row r="7" spans="1:15" s="72" customFormat="1" x14ac:dyDescent="0.2">
      <c r="A7" s="85" t="s">
        <v>910</v>
      </c>
      <c r="B7" s="68">
        <v>43643</v>
      </c>
      <c r="C7" s="67" t="s">
        <v>911</v>
      </c>
      <c r="D7" s="67" t="s">
        <v>912</v>
      </c>
      <c r="E7" s="67" t="s">
        <v>913</v>
      </c>
      <c r="F7" s="69">
        <v>909081.73</v>
      </c>
      <c r="G7" s="69"/>
      <c r="H7" s="70"/>
      <c r="I7" s="71">
        <v>8</v>
      </c>
      <c r="J7" s="67" t="s">
        <v>914</v>
      </c>
      <c r="K7" s="87" t="s">
        <v>915</v>
      </c>
      <c r="M7" s="72">
        <f>YEAR(Table1[[#This Row],[DATE INCIDENT]])</f>
        <v>2019</v>
      </c>
      <c r="N7" s="72">
        <f>VLOOKUP(M7,'REF GDP Deflator'!$C$36:$E$56,3)</f>
        <v>1.1599999999999999</v>
      </c>
      <c r="O7" s="326">
        <f>Table1[[#This Row],[AMOUNT CLAIMED]]*N7</f>
        <v>1054534.8067999999</v>
      </c>
    </row>
    <row r="8" spans="1:15" hidden="1" x14ac:dyDescent="0.2">
      <c r="A8" s="85" t="s">
        <v>916</v>
      </c>
      <c r="B8" s="68">
        <v>43690</v>
      </c>
      <c r="C8" s="67" t="s">
        <v>917</v>
      </c>
      <c r="D8" s="67" t="s">
        <v>918</v>
      </c>
      <c r="E8" s="67" t="s">
        <v>919</v>
      </c>
      <c r="F8" s="69">
        <v>124475.7</v>
      </c>
      <c r="G8" s="69">
        <v>124475.7</v>
      </c>
      <c r="H8" s="70">
        <v>44621</v>
      </c>
      <c r="I8" s="71">
        <v>2</v>
      </c>
      <c r="J8" s="75" t="s">
        <v>920</v>
      </c>
      <c r="K8" s="90" t="s">
        <v>921</v>
      </c>
      <c r="M8" s="72">
        <f>YEAR(Table1[[#This Row],[DATE INCIDENT]])</f>
        <v>2019</v>
      </c>
      <c r="N8" s="72">
        <f>VLOOKUP(M8,'REF GDP Deflator'!$C$36:$E$56,3)</f>
        <v>1.1599999999999999</v>
      </c>
      <c r="O8" s="326">
        <f>Table1[[#This Row],[AMOUNT CLAIMED]]*N8</f>
        <v>144391.81199999998</v>
      </c>
    </row>
    <row r="9" spans="1:15" s="72" customFormat="1" hidden="1" x14ac:dyDescent="0.2">
      <c r="A9" s="85" t="s">
        <v>922</v>
      </c>
      <c r="B9" s="68">
        <v>43677</v>
      </c>
      <c r="C9" s="67" t="s">
        <v>923</v>
      </c>
      <c r="D9" s="67" t="s">
        <v>924</v>
      </c>
      <c r="E9" s="67" t="s">
        <v>925</v>
      </c>
      <c r="F9" s="69">
        <v>153456.13</v>
      </c>
      <c r="G9" s="69"/>
      <c r="H9" s="70"/>
      <c r="I9" s="71">
        <v>3</v>
      </c>
      <c r="J9" s="67" t="s">
        <v>926</v>
      </c>
      <c r="K9" s="87" t="s">
        <v>927</v>
      </c>
      <c r="M9" s="72">
        <f>YEAR(Table1[[#This Row],[DATE INCIDENT]])</f>
        <v>2019</v>
      </c>
      <c r="N9" s="72">
        <f>VLOOKUP(M9,'REF GDP Deflator'!$C$36:$E$56,3)</f>
        <v>1.1599999999999999</v>
      </c>
      <c r="O9" s="326">
        <f>Table1[[#This Row],[AMOUNT CLAIMED]]*N9</f>
        <v>178009.11079999999</v>
      </c>
    </row>
    <row r="10" spans="1:15" hidden="1" x14ac:dyDescent="0.2">
      <c r="A10" s="85" t="s">
        <v>928</v>
      </c>
      <c r="B10" s="68">
        <v>43717</v>
      </c>
      <c r="C10" s="67" t="s">
        <v>929</v>
      </c>
      <c r="D10" s="67" t="s">
        <v>930</v>
      </c>
      <c r="E10" s="67" t="s">
        <v>931</v>
      </c>
      <c r="F10" s="69">
        <v>732049.67</v>
      </c>
      <c r="G10" s="69">
        <v>732049.67</v>
      </c>
      <c r="H10" s="70">
        <v>44508</v>
      </c>
      <c r="I10" s="74">
        <v>4</v>
      </c>
      <c r="J10" s="75" t="s">
        <v>932</v>
      </c>
      <c r="K10" s="90" t="s">
        <v>933</v>
      </c>
      <c r="L10" s="76" t="s">
        <v>934</v>
      </c>
      <c r="M10" s="72">
        <f>YEAR(Table1[[#This Row],[DATE INCIDENT]])</f>
        <v>2019</v>
      </c>
      <c r="N10" s="72">
        <f>VLOOKUP(M10,'REF GDP Deflator'!$C$36:$E$56,3)</f>
        <v>1.1599999999999999</v>
      </c>
      <c r="O10" s="326">
        <f>Table1[[#This Row],[AMOUNT CLAIMED]]*N10</f>
        <v>849177.61719999998</v>
      </c>
    </row>
    <row r="11" spans="1:15" hidden="1" x14ac:dyDescent="0.2">
      <c r="A11" s="85" t="s">
        <v>935</v>
      </c>
      <c r="B11" s="68">
        <v>43749</v>
      </c>
      <c r="C11" s="67" t="s">
        <v>936</v>
      </c>
      <c r="D11" s="67" t="s">
        <v>937</v>
      </c>
      <c r="E11" s="67" t="s">
        <v>938</v>
      </c>
      <c r="F11" s="69">
        <v>28649.3</v>
      </c>
      <c r="G11" s="69">
        <v>25000</v>
      </c>
      <c r="H11" s="70">
        <v>44307</v>
      </c>
      <c r="I11" s="74">
        <v>4</v>
      </c>
      <c r="J11" s="75" t="s">
        <v>939</v>
      </c>
      <c r="K11" s="90" t="s">
        <v>940</v>
      </c>
      <c r="M11" s="72">
        <f>YEAR(Table1[[#This Row],[DATE INCIDENT]])</f>
        <v>2019</v>
      </c>
      <c r="N11" s="72">
        <f>VLOOKUP(M11,'REF GDP Deflator'!$C$36:$E$56,3)</f>
        <v>1.1599999999999999</v>
      </c>
      <c r="O11" s="326">
        <f>Table1[[#This Row],[AMOUNT CLAIMED]]*N11</f>
        <v>33233.187999999995</v>
      </c>
    </row>
    <row r="12" spans="1:15" s="72" customFormat="1" hidden="1" x14ac:dyDescent="0.2">
      <c r="A12" s="85" t="s">
        <v>941</v>
      </c>
      <c r="B12" s="68">
        <v>43749</v>
      </c>
      <c r="C12" s="67" t="s">
        <v>942</v>
      </c>
      <c r="D12" s="67" t="s">
        <v>943</v>
      </c>
      <c r="E12" s="67" t="s">
        <v>944</v>
      </c>
      <c r="F12" s="69">
        <v>59169.93</v>
      </c>
      <c r="G12" s="69"/>
      <c r="H12" s="70"/>
      <c r="I12" s="71">
        <v>4</v>
      </c>
      <c r="J12" s="67" t="s">
        <v>945</v>
      </c>
      <c r="K12" s="87" t="s">
        <v>946</v>
      </c>
      <c r="M12" s="72">
        <f>YEAR(Table1[[#This Row],[DATE INCIDENT]])</f>
        <v>2019</v>
      </c>
      <c r="N12" s="72">
        <f>VLOOKUP(M12,'REF GDP Deflator'!$C$36:$E$56,3)</f>
        <v>1.1599999999999999</v>
      </c>
      <c r="O12" s="326">
        <f>Table1[[#This Row],[AMOUNT CLAIMED]]*N12</f>
        <v>68637.118799999997</v>
      </c>
    </row>
    <row r="13" spans="1:15" s="72" customFormat="1" x14ac:dyDescent="0.2">
      <c r="A13" s="85" t="s">
        <v>947</v>
      </c>
      <c r="B13" s="68">
        <v>43917</v>
      </c>
      <c r="C13" s="67" t="s">
        <v>948</v>
      </c>
      <c r="D13" s="67" t="s">
        <v>949</v>
      </c>
      <c r="E13" s="67" t="s">
        <v>950</v>
      </c>
      <c r="F13" s="69">
        <v>28819.81</v>
      </c>
      <c r="G13" s="69"/>
      <c r="H13" s="70"/>
      <c r="I13" s="71">
        <v>8</v>
      </c>
      <c r="J13" s="67" t="s">
        <v>951</v>
      </c>
      <c r="K13" s="87" t="s">
        <v>952</v>
      </c>
      <c r="M13" s="72">
        <f>YEAR(Table1[[#This Row],[DATE INCIDENT]])</f>
        <v>2020</v>
      </c>
      <c r="N13" s="72">
        <f>VLOOKUP(M13,'REF GDP Deflator'!$C$36:$E$56,3)</f>
        <v>1.1100000000000001</v>
      </c>
      <c r="O13" s="326">
        <f>Table1[[#This Row],[AMOUNT CLAIMED]]*N13</f>
        <v>31989.989100000003</v>
      </c>
    </row>
    <row r="14" spans="1:15" hidden="1" x14ac:dyDescent="0.2">
      <c r="A14" s="85" t="s">
        <v>953</v>
      </c>
      <c r="B14" s="68">
        <v>44056</v>
      </c>
      <c r="C14" s="67" t="s">
        <v>954</v>
      </c>
      <c r="D14" s="67" t="s">
        <v>955</v>
      </c>
      <c r="E14" s="67" t="s">
        <v>956</v>
      </c>
      <c r="F14" s="69">
        <v>57749.41</v>
      </c>
      <c r="G14" s="69">
        <v>57749.41</v>
      </c>
      <c r="H14" s="70">
        <v>44529</v>
      </c>
      <c r="I14" s="74">
        <v>2</v>
      </c>
      <c r="J14" s="75" t="s">
        <v>957</v>
      </c>
      <c r="K14" s="88" t="s">
        <v>892</v>
      </c>
      <c r="M14" s="72">
        <f>YEAR(Table1[[#This Row],[DATE INCIDENT]])</f>
        <v>2020</v>
      </c>
      <c r="N14" s="72">
        <f>VLOOKUP(M14,'REF GDP Deflator'!$C$36:$E$56,3)</f>
        <v>1.1100000000000001</v>
      </c>
      <c r="O14" s="326">
        <f>Table1[[#This Row],[AMOUNT CLAIMED]]*N14</f>
        <v>64101.845100000006</v>
      </c>
    </row>
    <row r="15" spans="1:15" ht="13.5" hidden="1" customHeight="1" x14ac:dyDescent="0.2">
      <c r="A15" s="85" t="s">
        <v>958</v>
      </c>
      <c r="B15" s="68">
        <v>44082</v>
      </c>
      <c r="C15" s="67" t="s">
        <v>959</v>
      </c>
      <c r="D15" s="67" t="s">
        <v>960</v>
      </c>
      <c r="E15" s="67" t="s">
        <v>961</v>
      </c>
      <c r="F15" s="69">
        <v>204532.08</v>
      </c>
      <c r="G15" s="69">
        <v>204532.08</v>
      </c>
      <c r="H15" s="70">
        <v>44673</v>
      </c>
      <c r="I15" s="71">
        <v>3</v>
      </c>
      <c r="J15" s="75" t="s">
        <v>962</v>
      </c>
      <c r="K15" s="88" t="s">
        <v>892</v>
      </c>
      <c r="M15" s="72">
        <f>YEAR(Table1[[#This Row],[DATE INCIDENT]])</f>
        <v>2020</v>
      </c>
      <c r="N15" s="72">
        <f>VLOOKUP(M15,'REF GDP Deflator'!$C$36:$E$56,3)</f>
        <v>1.1100000000000001</v>
      </c>
      <c r="O15" s="326">
        <f>Table1[[#This Row],[AMOUNT CLAIMED]]*N15</f>
        <v>227030.60880000002</v>
      </c>
    </row>
    <row r="16" spans="1:15" x14ac:dyDescent="0.2">
      <c r="A16" s="85" t="s">
        <v>963</v>
      </c>
      <c r="B16" s="68">
        <v>44152</v>
      </c>
      <c r="C16" s="67" t="s">
        <v>964</v>
      </c>
      <c r="D16" s="67" t="s">
        <v>965</v>
      </c>
      <c r="E16" s="67" t="s">
        <v>966</v>
      </c>
      <c r="F16" s="69">
        <v>61207.37</v>
      </c>
      <c r="G16" s="69">
        <v>61207.37</v>
      </c>
      <c r="H16" s="70">
        <v>44676</v>
      </c>
      <c r="I16" s="71">
        <v>8</v>
      </c>
      <c r="J16" s="75" t="s">
        <v>967</v>
      </c>
      <c r="K16" s="90" t="s">
        <v>968</v>
      </c>
      <c r="M16" s="72">
        <f>YEAR(Table1[[#This Row],[DATE INCIDENT]])</f>
        <v>2020</v>
      </c>
      <c r="N16" s="72">
        <f>VLOOKUP(M16,'REF GDP Deflator'!$C$36:$E$56,3)</f>
        <v>1.1100000000000001</v>
      </c>
      <c r="O16" s="326">
        <f>Table1[[#This Row],[AMOUNT CLAIMED]]*N16</f>
        <v>67940.180700000012</v>
      </c>
    </row>
    <row r="17" spans="1:15" hidden="1" x14ac:dyDescent="0.2">
      <c r="A17" s="86" t="s">
        <v>969</v>
      </c>
      <c r="B17" s="77">
        <v>44168</v>
      </c>
      <c r="C17" s="75" t="s">
        <v>970</v>
      </c>
      <c r="D17" s="75" t="s">
        <v>971</v>
      </c>
      <c r="E17" s="75" t="s">
        <v>972</v>
      </c>
      <c r="F17" s="78">
        <v>56289.4</v>
      </c>
      <c r="G17" s="78">
        <v>56289.4</v>
      </c>
      <c r="H17" s="79">
        <v>44782</v>
      </c>
      <c r="I17" s="74">
        <v>4</v>
      </c>
      <c r="J17" s="75" t="s">
        <v>973</v>
      </c>
      <c r="K17" s="90" t="s">
        <v>974</v>
      </c>
      <c r="M17" s="72">
        <f>YEAR(Table1[[#This Row],[DATE INCIDENT]])</f>
        <v>2020</v>
      </c>
      <c r="N17" s="72">
        <f>VLOOKUP(M17,'REF GDP Deflator'!$C$36:$E$56,3)</f>
        <v>1.1100000000000001</v>
      </c>
      <c r="O17" s="326">
        <f>Table1[[#This Row],[AMOUNT CLAIMED]]*N17</f>
        <v>62481.234000000004</v>
      </c>
    </row>
    <row r="18" spans="1:15" s="72" customFormat="1" x14ac:dyDescent="0.2">
      <c r="A18" s="85" t="s">
        <v>975</v>
      </c>
      <c r="B18" s="68">
        <v>44195</v>
      </c>
      <c r="C18" s="67" t="s">
        <v>976</v>
      </c>
      <c r="D18" s="67" t="s">
        <v>977</v>
      </c>
      <c r="E18" s="67" t="s">
        <v>978</v>
      </c>
      <c r="F18" s="69">
        <v>44263.01</v>
      </c>
      <c r="G18" s="69"/>
      <c r="H18" s="70"/>
      <c r="I18" s="71">
        <v>8</v>
      </c>
      <c r="J18" s="67" t="s">
        <v>979</v>
      </c>
      <c r="K18" s="89" t="s">
        <v>892</v>
      </c>
      <c r="M18" s="72">
        <f>YEAR(Table1[[#This Row],[DATE INCIDENT]])</f>
        <v>2020</v>
      </c>
      <c r="N18" s="72">
        <f>VLOOKUP(M18,'REF GDP Deflator'!$C$36:$E$56,3)</f>
        <v>1.1100000000000001</v>
      </c>
      <c r="O18" s="326">
        <f>Table1[[#This Row],[AMOUNT CLAIMED]]*N18</f>
        <v>49131.941100000004</v>
      </c>
    </row>
    <row r="19" spans="1:15" s="72" customFormat="1" hidden="1" x14ac:dyDescent="0.2">
      <c r="A19" s="85" t="s">
        <v>980</v>
      </c>
      <c r="B19" s="80">
        <v>44334</v>
      </c>
      <c r="C19" s="67" t="s">
        <v>981</v>
      </c>
      <c r="D19" s="67" t="s">
        <v>982</v>
      </c>
      <c r="E19" s="67" t="s">
        <v>983</v>
      </c>
      <c r="F19" s="69">
        <v>43560.72</v>
      </c>
      <c r="G19" s="69"/>
      <c r="H19" s="70"/>
      <c r="I19" s="71">
        <v>3</v>
      </c>
      <c r="J19" s="67" t="s">
        <v>984</v>
      </c>
      <c r="K19" s="87" t="s">
        <v>921</v>
      </c>
      <c r="M19" s="72">
        <f>YEAR(Table1[[#This Row],[DATE INCIDENT]])</f>
        <v>2021</v>
      </c>
      <c r="N19" s="72">
        <f>VLOOKUP(M19,'REF GDP Deflator'!$C$36:$E$56,3)</f>
        <v>1.04</v>
      </c>
      <c r="O19" s="326">
        <f>Table1[[#This Row],[AMOUNT CLAIMED]]*N19</f>
        <v>45303.148800000003</v>
      </c>
    </row>
    <row r="20" spans="1:15" hidden="1" x14ac:dyDescent="0.2">
      <c r="A20" s="85" t="s">
        <v>985</v>
      </c>
      <c r="B20" s="80">
        <v>44404</v>
      </c>
      <c r="C20" s="67" t="s">
        <v>986</v>
      </c>
      <c r="D20" s="67" t="s">
        <v>987</v>
      </c>
      <c r="E20" s="67" t="s">
        <v>988</v>
      </c>
      <c r="F20" s="69">
        <v>33778.959999999999</v>
      </c>
      <c r="G20" s="69">
        <v>33778.959999999999</v>
      </c>
      <c r="H20" s="70">
        <v>44858</v>
      </c>
      <c r="I20" s="71">
        <v>7</v>
      </c>
      <c r="J20" s="75" t="s">
        <v>989</v>
      </c>
      <c r="K20" s="88" t="s">
        <v>892</v>
      </c>
      <c r="M20" s="72">
        <f>YEAR(Table1[[#This Row],[DATE INCIDENT]])</f>
        <v>2021</v>
      </c>
      <c r="N20" s="72">
        <f>VLOOKUP(M20,'REF GDP Deflator'!$C$36:$E$56,3)</f>
        <v>1.04</v>
      </c>
      <c r="O20" s="326">
        <f>Table1[[#This Row],[AMOUNT CLAIMED]]*N20</f>
        <v>35130.118399999999</v>
      </c>
    </row>
    <row r="21" spans="1:15" s="72" customFormat="1" hidden="1" x14ac:dyDescent="0.2">
      <c r="A21" s="85" t="s">
        <v>990</v>
      </c>
      <c r="B21" s="80">
        <v>44420</v>
      </c>
      <c r="C21" s="67" t="s">
        <v>991</v>
      </c>
      <c r="D21" s="67" t="s">
        <v>992</v>
      </c>
      <c r="E21" s="67" t="s">
        <v>993</v>
      </c>
      <c r="F21" s="69">
        <v>319679.74</v>
      </c>
      <c r="G21" s="69"/>
      <c r="H21" s="70"/>
      <c r="I21" s="71">
        <v>7</v>
      </c>
      <c r="J21" s="67" t="s">
        <v>994</v>
      </c>
      <c r="K21" s="87" t="s">
        <v>933</v>
      </c>
      <c r="M21" s="72">
        <f>YEAR(Table1[[#This Row],[DATE INCIDENT]])</f>
        <v>2021</v>
      </c>
      <c r="N21" s="72">
        <f>VLOOKUP(M21,'REF GDP Deflator'!$C$36:$E$56,3)</f>
        <v>1.04</v>
      </c>
      <c r="O21" s="326">
        <f>Table1[[#This Row],[AMOUNT CLAIMED]]*N21</f>
        <v>332466.92959999997</v>
      </c>
    </row>
    <row r="22" spans="1:15" s="72" customFormat="1" x14ac:dyDescent="0.2">
      <c r="A22" s="85" t="s">
        <v>995</v>
      </c>
      <c r="B22" s="80">
        <v>44468</v>
      </c>
      <c r="C22" s="67" t="s">
        <v>996</v>
      </c>
      <c r="D22" s="67" t="s">
        <v>997</v>
      </c>
      <c r="E22" s="67" t="s">
        <v>998</v>
      </c>
      <c r="F22" s="69">
        <v>70997.740000000005</v>
      </c>
      <c r="G22" s="69"/>
      <c r="H22" s="70"/>
      <c r="I22" s="71">
        <v>8</v>
      </c>
      <c r="J22" s="67" t="s">
        <v>999</v>
      </c>
      <c r="K22" s="87" t="s">
        <v>1000</v>
      </c>
      <c r="M22" s="72">
        <f>YEAR(Table1[[#This Row],[DATE INCIDENT]])</f>
        <v>2021</v>
      </c>
      <c r="N22" s="72">
        <f>VLOOKUP(M22,'REF GDP Deflator'!$C$36:$E$56,3)</f>
        <v>1.04</v>
      </c>
      <c r="O22" s="326">
        <f>Table1[[#This Row],[AMOUNT CLAIMED]]*N22</f>
        <v>73837.649600000004</v>
      </c>
    </row>
    <row r="23" spans="1:15" s="72" customFormat="1" x14ac:dyDescent="0.2">
      <c r="A23" s="85" t="s">
        <v>1001</v>
      </c>
      <c r="B23" s="80">
        <v>44491</v>
      </c>
      <c r="C23" s="67" t="s">
        <v>1002</v>
      </c>
      <c r="D23" s="67" t="s">
        <v>1003</v>
      </c>
      <c r="E23" s="67" t="s">
        <v>1004</v>
      </c>
      <c r="F23" s="69">
        <v>33578.06</v>
      </c>
      <c r="G23" s="69">
        <v>33578.06</v>
      </c>
      <c r="H23" s="70">
        <v>44929</v>
      </c>
      <c r="I23" s="71">
        <v>8</v>
      </c>
      <c r="J23" s="67" t="s">
        <v>1005</v>
      </c>
      <c r="K23" s="87" t="s">
        <v>1006</v>
      </c>
      <c r="M23" s="72">
        <f>YEAR(Table1[[#This Row],[DATE INCIDENT]])</f>
        <v>2021</v>
      </c>
      <c r="N23" s="72">
        <f>VLOOKUP(M23,'REF GDP Deflator'!$C$36:$E$56,3)</f>
        <v>1.04</v>
      </c>
      <c r="O23" s="326">
        <f>Table1[[#This Row],[AMOUNT CLAIMED]]*N23</f>
        <v>34921.182399999998</v>
      </c>
    </row>
    <row r="24" spans="1:15" s="72" customFormat="1" hidden="1" x14ac:dyDescent="0.2">
      <c r="A24" s="85" t="s">
        <v>1007</v>
      </c>
      <c r="B24" s="80">
        <v>44524</v>
      </c>
      <c r="C24" s="67" t="s">
        <v>1008</v>
      </c>
      <c r="D24" s="67" t="s">
        <v>1009</v>
      </c>
      <c r="E24" s="67" t="s">
        <v>1010</v>
      </c>
      <c r="F24" s="69">
        <v>52868.23</v>
      </c>
      <c r="G24" s="69"/>
      <c r="H24" s="70"/>
      <c r="I24" s="71">
        <v>2</v>
      </c>
      <c r="J24" s="67" t="s">
        <v>1011</v>
      </c>
      <c r="K24" s="87" t="s">
        <v>1012</v>
      </c>
      <c r="M24" s="72">
        <f>YEAR(Table1[[#This Row],[DATE INCIDENT]])</f>
        <v>2021</v>
      </c>
      <c r="N24" s="72">
        <f>VLOOKUP(M24,'REF GDP Deflator'!$C$36:$E$56,3)</f>
        <v>1.04</v>
      </c>
      <c r="O24" s="326">
        <f>Table1[[#This Row],[AMOUNT CLAIMED]]*N24</f>
        <v>54982.959200000005</v>
      </c>
    </row>
    <row r="25" spans="1:15" s="72" customFormat="1" x14ac:dyDescent="0.2">
      <c r="A25" s="85" t="s">
        <v>1013</v>
      </c>
      <c r="B25" s="80">
        <v>44561</v>
      </c>
      <c r="C25" s="67" t="s">
        <v>1014</v>
      </c>
      <c r="D25" s="67" t="s">
        <v>1015</v>
      </c>
      <c r="E25" s="67" t="s">
        <v>884</v>
      </c>
      <c r="F25" s="69"/>
      <c r="G25" s="69"/>
      <c r="H25" s="70"/>
      <c r="I25" s="71">
        <v>8</v>
      </c>
      <c r="J25" s="67" t="s">
        <v>1016</v>
      </c>
      <c r="K25" s="87" t="s">
        <v>886</v>
      </c>
      <c r="M25" s="72">
        <f>YEAR(Table1[[#This Row],[DATE INCIDENT]])</f>
        <v>2021</v>
      </c>
      <c r="N25" s="72">
        <f>VLOOKUP(M25,'REF GDP Deflator'!$C$36:$E$56,3)</f>
        <v>1.04</v>
      </c>
      <c r="O25" s="326">
        <f>Table1[[#This Row],[AMOUNT CLAIMED]]*N25</f>
        <v>0</v>
      </c>
    </row>
    <row r="26" spans="1:15" s="72" customFormat="1" hidden="1" x14ac:dyDescent="0.2">
      <c r="A26" s="85" t="s">
        <v>1017</v>
      </c>
      <c r="B26" s="80">
        <v>44602</v>
      </c>
      <c r="C26" s="67" t="s">
        <v>1018</v>
      </c>
      <c r="D26" s="67" t="s">
        <v>1019</v>
      </c>
      <c r="E26" s="67" t="s">
        <v>1020</v>
      </c>
      <c r="F26" s="69">
        <v>244323.71</v>
      </c>
      <c r="G26" s="69"/>
      <c r="H26" s="70"/>
      <c r="I26" s="71">
        <v>7</v>
      </c>
      <c r="J26" s="67" t="s">
        <v>1021</v>
      </c>
      <c r="K26" s="87" t="s">
        <v>1022</v>
      </c>
      <c r="M26" s="72">
        <f>YEAR(Table1[[#This Row],[DATE INCIDENT]])</f>
        <v>2022</v>
      </c>
      <c r="N26" s="72">
        <f>VLOOKUP(M26,'REF GDP Deflator'!$C$36:$E$56,3)</f>
        <v>1</v>
      </c>
      <c r="O26" s="326">
        <f>Table1[[#This Row],[AMOUNT CLAIMED]]*N26</f>
        <v>244323.71</v>
      </c>
    </row>
    <row r="27" spans="1:15" s="72" customFormat="1" hidden="1" x14ac:dyDescent="0.2">
      <c r="A27" s="85" t="s">
        <v>1023</v>
      </c>
      <c r="B27" s="80">
        <v>44609</v>
      </c>
      <c r="C27" s="67" t="s">
        <v>1024</v>
      </c>
      <c r="D27" s="67" t="s">
        <v>1025</v>
      </c>
      <c r="E27" s="67" t="s">
        <v>1026</v>
      </c>
      <c r="F27" s="69"/>
      <c r="G27" s="69"/>
      <c r="H27" s="70"/>
      <c r="I27" s="71">
        <v>4</v>
      </c>
      <c r="J27" s="67" t="s">
        <v>1027</v>
      </c>
      <c r="K27" s="87" t="s">
        <v>927</v>
      </c>
      <c r="M27" s="72">
        <f>YEAR(Table1[[#This Row],[DATE INCIDENT]])</f>
        <v>2022</v>
      </c>
      <c r="N27" s="72">
        <f>VLOOKUP(M27,'REF GDP Deflator'!$C$36:$E$56,3)</f>
        <v>1</v>
      </c>
      <c r="O27" s="326">
        <f>Table1[[#This Row],[AMOUNT CLAIMED]]*N27</f>
        <v>0</v>
      </c>
    </row>
    <row r="28" spans="1:15" s="72" customFormat="1" x14ac:dyDescent="0.2">
      <c r="A28" s="85" t="s">
        <v>1028</v>
      </c>
      <c r="B28" s="80">
        <v>44844</v>
      </c>
      <c r="C28" s="67" t="s">
        <v>1029</v>
      </c>
      <c r="D28" s="67" t="s">
        <v>1030</v>
      </c>
      <c r="E28" s="67" t="s">
        <v>1031</v>
      </c>
      <c r="F28" s="69"/>
      <c r="G28" s="69"/>
      <c r="H28" s="70"/>
      <c r="I28" s="71">
        <v>8</v>
      </c>
      <c r="J28" s="67" t="s">
        <v>1032</v>
      </c>
      <c r="K28" s="87" t="s">
        <v>1033</v>
      </c>
      <c r="M28" s="72">
        <f>YEAR(Table1[[#This Row],[DATE INCIDENT]])</f>
        <v>2022</v>
      </c>
      <c r="N28" s="72">
        <f>VLOOKUP(M28,'REF GDP Deflator'!$C$36:$E$56,3)</f>
        <v>1</v>
      </c>
      <c r="O28" s="326">
        <f>Table1[[#This Row],[AMOUNT CLAIMED]]*N28</f>
        <v>0</v>
      </c>
    </row>
    <row r="29" spans="1:15" s="72" customFormat="1" hidden="1" x14ac:dyDescent="0.2">
      <c r="A29" s="99" t="s">
        <v>1034</v>
      </c>
      <c r="B29" s="100">
        <v>44938</v>
      </c>
      <c r="C29" s="101" t="s">
        <v>1035</v>
      </c>
      <c r="D29" s="101" t="s">
        <v>1036</v>
      </c>
      <c r="E29" s="101" t="s">
        <v>1037</v>
      </c>
      <c r="F29" s="102"/>
      <c r="G29" s="102"/>
      <c r="H29" s="103"/>
      <c r="I29" s="104">
        <v>3</v>
      </c>
      <c r="J29" s="101"/>
      <c r="K29" s="105"/>
    </row>
    <row r="33" spans="5:7" x14ac:dyDescent="0.2">
      <c r="E33" s="66" t="s">
        <v>1038</v>
      </c>
    </row>
    <row r="34" spans="5:7" x14ac:dyDescent="0.2">
      <c r="E34" s="76" t="s">
        <v>1039</v>
      </c>
      <c r="F34" s="82">
        <f>O2+O4+O7+O13+O16+O18+O22+O23</f>
        <v>1524677.1616999998</v>
      </c>
    </row>
    <row r="35" spans="5:7" x14ac:dyDescent="0.2">
      <c r="E35" s="76" t="s">
        <v>1040</v>
      </c>
      <c r="F35" s="196">
        <v>8</v>
      </c>
    </row>
    <row r="36" spans="5:7" x14ac:dyDescent="0.2">
      <c r="E36" s="76" t="s">
        <v>1041</v>
      </c>
      <c r="F36" s="82">
        <f>F34/F35</f>
        <v>190584.64521249998</v>
      </c>
      <c r="G36" s="325"/>
    </row>
  </sheetData>
  <sheetProtection selectLockedCells="1" selectUnlockedCells="1"/>
  <printOptions gridLines="1"/>
  <pageMargins left="0.75" right="0.75" top="1" bottom="1" header="0.5" footer="0.5"/>
  <pageSetup paperSize="5" scale="66" fitToHeight="0" orientation="landscape" r:id="rId1"/>
  <headerFooter alignWithMargins="0"/>
  <colBreaks count="1" manualBreakCount="1">
    <brk id="2" max="1048575" man="1"/>
  </colBreaks>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7569B-2D48-4044-B6AE-31F034CBE803}">
  <sheetPr>
    <tabColor theme="2" tint="-0.249977111117893"/>
  </sheetPr>
  <dimension ref="B2:I56"/>
  <sheetViews>
    <sheetView topLeftCell="A13" workbookViewId="0">
      <selection activeCell="E56" sqref="E56"/>
    </sheetView>
  </sheetViews>
  <sheetFormatPr defaultRowHeight="15" x14ac:dyDescent="0.25"/>
  <cols>
    <col min="4" max="4" width="31.85546875" customWidth="1"/>
    <col min="5" max="5" width="9.5703125" bestFit="1" customWidth="1"/>
  </cols>
  <sheetData>
    <row r="2" spans="2:3" x14ac:dyDescent="0.25">
      <c r="B2" t="s">
        <v>856</v>
      </c>
      <c r="C2" s="123" t="s">
        <v>1042</v>
      </c>
    </row>
    <row r="31" spans="9:9" x14ac:dyDescent="0.25">
      <c r="I31">
        <v>2020</v>
      </c>
    </row>
    <row r="35" spans="3:5" x14ac:dyDescent="0.25">
      <c r="C35" t="s">
        <v>54</v>
      </c>
      <c r="D35" t="s">
        <v>1043</v>
      </c>
      <c r="E35" t="s">
        <v>1044</v>
      </c>
    </row>
    <row r="36" spans="3:5" x14ac:dyDescent="0.25">
      <c r="C36">
        <v>2003</v>
      </c>
      <c r="D36" t="s">
        <v>1045</v>
      </c>
      <c r="E36" s="64">
        <f>'REF USDOT BCA 2025 Guidlines'!C116</f>
        <v>1.55</v>
      </c>
    </row>
    <row r="37" spans="3:5" x14ac:dyDescent="0.25">
      <c r="C37">
        <v>2004</v>
      </c>
      <c r="D37" t="s">
        <v>1045</v>
      </c>
      <c r="E37" s="64">
        <f>'REF USDOT BCA 2025 Guidlines'!C117</f>
        <v>1.5</v>
      </c>
    </row>
    <row r="38" spans="3:5" x14ac:dyDescent="0.25">
      <c r="C38">
        <v>2005</v>
      </c>
      <c r="D38" t="s">
        <v>1045</v>
      </c>
      <c r="E38" s="64">
        <f>'REF USDOT BCA 2025 Guidlines'!C118</f>
        <v>1.45</v>
      </c>
    </row>
    <row r="39" spans="3:5" x14ac:dyDescent="0.25">
      <c r="C39">
        <v>2006</v>
      </c>
      <c r="D39" t="s">
        <v>1045</v>
      </c>
      <c r="E39" s="64">
        <f>'REF USDOT BCA 2025 Guidlines'!C119</f>
        <v>1.42</v>
      </c>
    </row>
    <row r="40" spans="3:5" x14ac:dyDescent="0.25">
      <c r="C40">
        <v>2007</v>
      </c>
      <c r="D40" t="s">
        <v>1045</v>
      </c>
      <c r="E40" s="64">
        <f>'REF USDOT BCA 2025 Guidlines'!C120</f>
        <v>1.39</v>
      </c>
    </row>
    <row r="41" spans="3:5" x14ac:dyDescent="0.25">
      <c r="C41">
        <v>2008</v>
      </c>
      <c r="D41" t="s">
        <v>1045</v>
      </c>
      <c r="E41" s="64">
        <f>'REF USDOT BCA 2025 Guidlines'!C121</f>
        <v>1.38</v>
      </c>
    </row>
    <row r="42" spans="3:5" x14ac:dyDescent="0.25">
      <c r="C42">
        <v>2009</v>
      </c>
      <c r="D42" t="s">
        <v>1045</v>
      </c>
      <c r="E42" s="64">
        <f>'REF USDOT BCA 2025 Guidlines'!C122</f>
        <v>1.36</v>
      </c>
    </row>
    <row r="43" spans="3:5" x14ac:dyDescent="0.25">
      <c r="C43">
        <v>2010</v>
      </c>
      <c r="D43" t="s">
        <v>1045</v>
      </c>
      <c r="E43" s="64">
        <f>'REF USDOT BCA 2025 Guidlines'!C123</f>
        <v>1.34</v>
      </c>
    </row>
    <row r="44" spans="3:5" x14ac:dyDescent="0.25">
      <c r="C44">
        <v>2011</v>
      </c>
      <c r="D44" t="s">
        <v>1045</v>
      </c>
      <c r="E44" s="64">
        <f>'REF USDOT BCA 2025 Guidlines'!C124</f>
        <v>1.31</v>
      </c>
    </row>
    <row r="45" spans="3:5" x14ac:dyDescent="0.25">
      <c r="C45">
        <v>2012</v>
      </c>
      <c r="D45" t="s">
        <v>1045</v>
      </c>
      <c r="E45" s="64">
        <f>'REF USDOT BCA 2025 Guidlines'!C125</f>
        <v>1.29</v>
      </c>
    </row>
    <row r="46" spans="3:5" x14ac:dyDescent="0.25">
      <c r="C46">
        <v>2013</v>
      </c>
      <c r="D46" t="s">
        <v>1045</v>
      </c>
      <c r="E46" s="64">
        <f>'REF USDOT BCA 2025 Guidlines'!C126</f>
        <v>1.27</v>
      </c>
    </row>
    <row r="47" spans="3:5" x14ac:dyDescent="0.25">
      <c r="C47">
        <v>2014</v>
      </c>
      <c r="D47" t="s">
        <v>1045</v>
      </c>
      <c r="E47" s="64">
        <f>'REF USDOT BCA 2025 Guidlines'!C127</f>
        <v>1.26</v>
      </c>
    </row>
    <row r="48" spans="3:5" x14ac:dyDescent="0.25">
      <c r="C48">
        <v>2015</v>
      </c>
      <c r="D48" t="s">
        <v>1045</v>
      </c>
      <c r="E48" s="64">
        <f>'REF USDOT BCA 2025 Guidlines'!C128</f>
        <v>1.24</v>
      </c>
    </row>
    <row r="49" spans="3:5" x14ac:dyDescent="0.25">
      <c r="C49">
        <v>2016</v>
      </c>
      <c r="D49" t="s">
        <v>1045</v>
      </c>
      <c r="E49" s="64">
        <f>'REF USDOT BCA 2025 Guidlines'!C129</f>
        <v>1.22</v>
      </c>
    </row>
    <row r="50" spans="3:5" x14ac:dyDescent="0.25">
      <c r="C50">
        <v>2017</v>
      </c>
      <c r="D50" t="s">
        <v>1045</v>
      </c>
      <c r="E50" s="64">
        <f>'REF USDOT BCA 2025 Guidlines'!C130</f>
        <v>1.2</v>
      </c>
    </row>
    <row r="51" spans="3:5" x14ac:dyDescent="0.25">
      <c r="C51">
        <v>2018</v>
      </c>
      <c r="D51" t="s">
        <v>1045</v>
      </c>
      <c r="E51" s="64">
        <f>'REF USDOT BCA 2025 Guidlines'!C131</f>
        <v>1.18</v>
      </c>
    </row>
    <row r="52" spans="3:5" x14ac:dyDescent="0.25">
      <c r="C52">
        <v>2019</v>
      </c>
      <c r="D52" t="s">
        <v>1045</v>
      </c>
      <c r="E52" s="64">
        <f>'REF USDOT BCA 2025 Guidlines'!C132</f>
        <v>1.1599999999999999</v>
      </c>
    </row>
    <row r="53" spans="3:5" x14ac:dyDescent="0.25">
      <c r="C53">
        <v>2020</v>
      </c>
      <c r="D53" t="s">
        <v>1045</v>
      </c>
      <c r="E53" s="64">
        <f>'REF USDOT BCA 2025 Guidlines'!C133</f>
        <v>1.1100000000000001</v>
      </c>
    </row>
    <row r="54" spans="3:5" x14ac:dyDescent="0.25">
      <c r="C54">
        <v>2021</v>
      </c>
      <c r="D54" t="s">
        <v>1045</v>
      </c>
      <c r="E54" s="64">
        <f>'REF USDOT BCA 2025 Guidlines'!C134</f>
        <v>1.04</v>
      </c>
    </row>
    <row r="55" spans="3:5" x14ac:dyDescent="0.25">
      <c r="C55">
        <v>2022</v>
      </c>
      <c r="D55" s="176">
        <v>25029.1</v>
      </c>
      <c r="E55" s="64">
        <f>'REF USDOT BCA 2025 Guidlines'!C135</f>
        <v>1</v>
      </c>
    </row>
    <row r="56" spans="3:5" x14ac:dyDescent="0.25">
      <c r="C56">
        <v>2023</v>
      </c>
      <c r="D56" s="176">
        <v>26813.599999999999</v>
      </c>
      <c r="E56" s="64">
        <f>$D$55/D56</f>
        <v>0.93344795178566098</v>
      </c>
    </row>
  </sheetData>
  <hyperlinks>
    <hyperlink ref="C2" r:id="rId1" location="eyJhcHBpZCI6MTksInN0ZXBzIjpbMSwyLDNdLCJkYXRhIjpbWyJOSVBBX1RhYmxlX0xpc3QiLCI1Il0sWyJDYXRlZ29yaWVzIiwiU3VydmV5Il1dfQ==" xr:uid="{59755D55-5B3D-437E-BED0-17AC76C58FA5}"/>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BEBE6-68EA-4AE9-BBB9-12F1E96040D7}">
  <sheetPr>
    <tabColor rgb="FF0070C0"/>
  </sheetPr>
  <dimension ref="A1:AS78"/>
  <sheetViews>
    <sheetView workbookViewId="0">
      <pane xSplit="4" ySplit="11" topLeftCell="E47" activePane="bottomRight" state="frozen"/>
      <selection pane="topRight" activeCell="E1" sqref="E1"/>
      <selection pane="bottomLeft" activeCell="A12" sqref="A12"/>
      <selection pane="bottomRight" activeCell="A4" sqref="A4"/>
    </sheetView>
  </sheetViews>
  <sheetFormatPr defaultColWidth="0" defaultRowHeight="14.25" x14ac:dyDescent="0.2"/>
  <cols>
    <col min="1" max="1" width="10.28515625" style="1" customWidth="1"/>
    <col min="2" max="2" width="32.5703125" style="1" bestFit="1" customWidth="1"/>
    <col min="3" max="3" width="15.42578125" style="1" bestFit="1" customWidth="1"/>
    <col min="4" max="4" width="15.140625" style="1" bestFit="1" customWidth="1"/>
    <col min="5" max="5" width="1.5703125" style="1" customWidth="1"/>
    <col min="6" max="44" width="14.42578125" style="1" customWidth="1"/>
    <col min="45" max="45" width="9.140625" style="1" customWidth="1"/>
    <col min="46" max="16384" width="9.140625" style="1" hidden="1"/>
  </cols>
  <sheetData>
    <row r="1" spans="1:44" ht="19.5" x14ac:dyDescent="0.3">
      <c r="A1" s="197" t="str">
        <f>Summary!$A$1</f>
        <v>Multimodal Improvements to Safely Connect Tulsa at US-75 and 81st Street Interchange</v>
      </c>
      <c r="B1" s="380"/>
      <c r="C1" s="380"/>
      <c r="D1" s="380"/>
      <c r="E1" s="380"/>
      <c r="F1" s="380"/>
      <c r="G1" s="380"/>
      <c r="H1" s="380"/>
      <c r="I1" s="380"/>
      <c r="J1" s="380"/>
      <c r="K1" s="380"/>
      <c r="L1" s="380"/>
      <c r="M1" s="380"/>
      <c r="N1" s="380"/>
      <c r="O1" s="380"/>
      <c r="P1" s="380"/>
      <c r="Q1" s="380"/>
      <c r="R1" s="380"/>
      <c r="S1" s="380"/>
      <c r="T1" s="380"/>
      <c r="U1" s="380"/>
      <c r="V1" s="380"/>
      <c r="W1" s="380"/>
      <c r="X1" s="380"/>
      <c r="Y1" s="380"/>
      <c r="Z1" s="380"/>
      <c r="AA1" s="380"/>
      <c r="AB1" s="380"/>
      <c r="AC1" s="380"/>
      <c r="AD1" s="380"/>
      <c r="AE1" s="380"/>
      <c r="AF1" s="380"/>
      <c r="AG1" s="380"/>
      <c r="AH1" s="380"/>
      <c r="AI1" s="380"/>
      <c r="AJ1" s="380"/>
      <c r="AK1" s="380"/>
      <c r="AL1" s="380"/>
      <c r="AM1" s="380"/>
      <c r="AN1" s="380"/>
      <c r="AO1" s="380"/>
      <c r="AP1" s="380"/>
      <c r="AQ1" s="380"/>
      <c r="AR1" s="380"/>
    </row>
    <row r="2" spans="1:44" ht="19.5" x14ac:dyDescent="0.3">
      <c r="A2" s="197" t="s">
        <v>234</v>
      </c>
      <c r="B2" s="380"/>
      <c r="C2" s="7"/>
      <c r="D2" s="380"/>
      <c r="E2" s="380"/>
      <c r="F2" s="380"/>
      <c r="G2" s="380"/>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row>
    <row r="3" spans="1:44" x14ac:dyDescent="0.2">
      <c r="A3" s="381">
        <f ca="1">Summary!A3</f>
        <v>45687</v>
      </c>
      <c r="B3" s="380"/>
      <c r="C3" s="7"/>
      <c r="D3" s="380"/>
      <c r="E3" s="380"/>
      <c r="F3" s="380"/>
      <c r="G3" s="380"/>
      <c r="H3" s="380"/>
      <c r="I3" s="380"/>
      <c r="J3" s="380"/>
      <c r="K3" s="380"/>
      <c r="L3" s="380"/>
      <c r="M3" s="380"/>
      <c r="N3" s="380"/>
      <c r="O3" s="380"/>
      <c r="P3" s="380"/>
      <c r="Q3" s="380"/>
      <c r="R3" s="380"/>
      <c r="S3" s="380"/>
      <c r="T3" s="380"/>
      <c r="U3" s="380"/>
      <c r="V3" s="380"/>
      <c r="W3" s="380"/>
      <c r="X3" s="380"/>
      <c r="Y3" s="380"/>
      <c r="Z3" s="380"/>
      <c r="AA3" s="380"/>
      <c r="AB3" s="380"/>
      <c r="AC3" s="380"/>
      <c r="AD3" s="380"/>
      <c r="AE3" s="380"/>
      <c r="AF3" s="380"/>
      <c r="AG3" s="380"/>
      <c r="AH3" s="380"/>
      <c r="AI3" s="380"/>
      <c r="AJ3" s="380"/>
      <c r="AK3" s="380"/>
      <c r="AL3" s="380"/>
      <c r="AM3" s="380"/>
      <c r="AN3" s="380"/>
      <c r="AO3" s="380"/>
      <c r="AP3" s="380"/>
      <c r="AQ3" s="380"/>
      <c r="AR3" s="380"/>
    </row>
    <row r="4" spans="1:44" x14ac:dyDescent="0.2">
      <c r="A4" s="33" t="str">
        <f>Summary!A4</f>
        <v>All $ values 2023, unless otherwise noted</v>
      </c>
      <c r="B4" s="380"/>
      <c r="C4" s="7"/>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c r="AM4" s="380"/>
      <c r="AN4" s="380"/>
      <c r="AO4" s="380"/>
      <c r="AP4" s="380"/>
      <c r="AQ4" s="380"/>
      <c r="AR4" s="380"/>
    </row>
    <row r="5" spans="1:44" x14ac:dyDescent="0.2">
      <c r="A5" s="380"/>
      <c r="B5" s="382"/>
      <c r="C5" s="7"/>
      <c r="D5" s="380"/>
      <c r="E5" s="380"/>
      <c r="F5" s="380"/>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0"/>
      <c r="AO5" s="380"/>
      <c r="AP5" s="380"/>
      <c r="AQ5" s="380"/>
      <c r="AR5" s="380"/>
    </row>
    <row r="6" spans="1:44" x14ac:dyDescent="0.2">
      <c r="A6" s="380"/>
      <c r="B6" s="380"/>
      <c r="C6" s="380" t="s">
        <v>48</v>
      </c>
      <c r="D6" s="380" t="s">
        <v>49</v>
      </c>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row>
    <row r="7" spans="1:44" s="198" customFormat="1" x14ac:dyDescent="0.2">
      <c r="A7" s="198" t="s">
        <v>235</v>
      </c>
      <c r="C7" s="198" t="s">
        <v>235</v>
      </c>
      <c r="F7" s="198">
        <f>Inputs!$E$12</f>
        <v>2018</v>
      </c>
      <c r="G7" s="198">
        <f>F7+1</f>
        <v>2019</v>
      </c>
      <c r="H7" s="198">
        <f t="shared" ref="H7:W8" si="0">G7+1</f>
        <v>2020</v>
      </c>
      <c r="I7" s="198">
        <f t="shared" si="0"/>
        <v>2021</v>
      </c>
      <c r="J7" s="198">
        <f t="shared" si="0"/>
        <v>2022</v>
      </c>
      <c r="K7" s="198">
        <f t="shared" si="0"/>
        <v>2023</v>
      </c>
      <c r="L7" s="198">
        <f t="shared" si="0"/>
        <v>2024</v>
      </c>
      <c r="M7" s="198">
        <f t="shared" si="0"/>
        <v>2025</v>
      </c>
      <c r="N7" s="198">
        <f t="shared" si="0"/>
        <v>2026</v>
      </c>
      <c r="O7" s="198">
        <f t="shared" si="0"/>
        <v>2027</v>
      </c>
      <c r="P7" s="198">
        <f t="shared" si="0"/>
        <v>2028</v>
      </c>
      <c r="Q7" s="198">
        <f t="shared" si="0"/>
        <v>2029</v>
      </c>
      <c r="R7" s="198">
        <f t="shared" si="0"/>
        <v>2030</v>
      </c>
      <c r="S7" s="198">
        <f t="shared" si="0"/>
        <v>2031</v>
      </c>
      <c r="T7" s="198">
        <f t="shared" si="0"/>
        <v>2032</v>
      </c>
      <c r="U7" s="198">
        <f t="shared" si="0"/>
        <v>2033</v>
      </c>
      <c r="V7" s="198">
        <f t="shared" si="0"/>
        <v>2034</v>
      </c>
      <c r="W7" s="198">
        <f t="shared" si="0"/>
        <v>2035</v>
      </c>
      <c r="X7" s="198">
        <f t="shared" ref="X7:AM8" si="1">W7+1</f>
        <v>2036</v>
      </c>
      <c r="Y7" s="198">
        <f t="shared" si="1"/>
        <v>2037</v>
      </c>
      <c r="Z7" s="198">
        <f t="shared" si="1"/>
        <v>2038</v>
      </c>
      <c r="AA7" s="198">
        <f t="shared" si="1"/>
        <v>2039</v>
      </c>
      <c r="AB7" s="198">
        <f t="shared" si="1"/>
        <v>2040</v>
      </c>
      <c r="AC7" s="198">
        <f t="shared" si="1"/>
        <v>2041</v>
      </c>
      <c r="AD7" s="198">
        <f t="shared" si="1"/>
        <v>2042</v>
      </c>
      <c r="AE7" s="198">
        <f t="shared" si="1"/>
        <v>2043</v>
      </c>
      <c r="AF7" s="198">
        <f t="shared" si="1"/>
        <v>2044</v>
      </c>
      <c r="AG7" s="198">
        <f t="shared" si="1"/>
        <v>2045</v>
      </c>
      <c r="AH7" s="198">
        <f t="shared" si="1"/>
        <v>2046</v>
      </c>
      <c r="AI7" s="198">
        <f t="shared" si="1"/>
        <v>2047</v>
      </c>
      <c r="AJ7" s="198">
        <f t="shared" si="1"/>
        <v>2048</v>
      </c>
      <c r="AK7" s="198">
        <f t="shared" si="1"/>
        <v>2049</v>
      </c>
      <c r="AL7" s="198">
        <f t="shared" si="1"/>
        <v>2050</v>
      </c>
      <c r="AM7" s="198">
        <f t="shared" si="1"/>
        <v>2051</v>
      </c>
      <c r="AN7" s="198">
        <f t="shared" ref="AN7:AR8" si="2">AM7+1</f>
        <v>2052</v>
      </c>
      <c r="AO7" s="198">
        <f t="shared" si="2"/>
        <v>2053</v>
      </c>
      <c r="AP7" s="198">
        <f t="shared" si="2"/>
        <v>2054</v>
      </c>
      <c r="AQ7" s="198">
        <f t="shared" si="2"/>
        <v>2055</v>
      </c>
      <c r="AR7" s="198">
        <f t="shared" si="2"/>
        <v>2056</v>
      </c>
    </row>
    <row r="8" spans="1:44" hidden="1" x14ac:dyDescent="0.2">
      <c r="A8" s="380"/>
      <c r="B8" s="380" t="s">
        <v>236</v>
      </c>
      <c r="C8" s="7" t="s">
        <v>54</v>
      </c>
      <c r="D8" s="380"/>
      <c r="E8" s="380"/>
      <c r="F8" s="380">
        <f>D8+1</f>
        <v>1</v>
      </c>
      <c r="G8" s="380">
        <f t="shared" ref="G8" si="3">F8+1</f>
        <v>2</v>
      </c>
      <c r="H8" s="380">
        <f t="shared" si="0"/>
        <v>3</v>
      </c>
      <c r="I8" s="380">
        <f t="shared" si="0"/>
        <v>4</v>
      </c>
      <c r="J8" s="380">
        <f t="shared" si="0"/>
        <v>5</v>
      </c>
      <c r="K8" s="380">
        <f t="shared" si="0"/>
        <v>6</v>
      </c>
      <c r="L8" s="380">
        <f t="shared" si="0"/>
        <v>7</v>
      </c>
      <c r="M8" s="380">
        <f t="shared" si="0"/>
        <v>8</v>
      </c>
      <c r="N8" s="380">
        <f t="shared" si="0"/>
        <v>9</v>
      </c>
      <c r="O8" s="380">
        <f t="shared" si="0"/>
        <v>10</v>
      </c>
      <c r="P8" s="380">
        <f t="shared" si="0"/>
        <v>11</v>
      </c>
      <c r="Q8" s="380">
        <f t="shared" si="0"/>
        <v>12</v>
      </c>
      <c r="R8" s="380">
        <f t="shared" si="0"/>
        <v>13</v>
      </c>
      <c r="S8" s="380">
        <f t="shared" si="0"/>
        <v>14</v>
      </c>
      <c r="T8" s="380">
        <f t="shared" si="0"/>
        <v>15</v>
      </c>
      <c r="U8" s="380">
        <f t="shared" si="0"/>
        <v>16</v>
      </c>
      <c r="V8" s="380">
        <f t="shared" si="0"/>
        <v>17</v>
      </c>
      <c r="W8" s="380">
        <f t="shared" si="0"/>
        <v>18</v>
      </c>
      <c r="X8" s="380">
        <f t="shared" si="1"/>
        <v>19</v>
      </c>
      <c r="Y8" s="380">
        <f t="shared" si="1"/>
        <v>20</v>
      </c>
      <c r="Z8" s="380">
        <f t="shared" si="1"/>
        <v>21</v>
      </c>
      <c r="AA8" s="380">
        <f t="shared" si="1"/>
        <v>22</v>
      </c>
      <c r="AB8" s="380">
        <f t="shared" si="1"/>
        <v>23</v>
      </c>
      <c r="AC8" s="380">
        <f t="shared" si="1"/>
        <v>24</v>
      </c>
      <c r="AD8" s="380">
        <f t="shared" si="1"/>
        <v>25</v>
      </c>
      <c r="AE8" s="380">
        <f t="shared" si="1"/>
        <v>26</v>
      </c>
      <c r="AF8" s="380">
        <f t="shared" si="1"/>
        <v>27</v>
      </c>
      <c r="AG8" s="380">
        <f t="shared" si="1"/>
        <v>28</v>
      </c>
      <c r="AH8" s="380">
        <f t="shared" si="1"/>
        <v>29</v>
      </c>
      <c r="AI8" s="380">
        <f t="shared" si="1"/>
        <v>30</v>
      </c>
      <c r="AJ8" s="380">
        <f t="shared" si="1"/>
        <v>31</v>
      </c>
      <c r="AK8" s="380">
        <f t="shared" si="1"/>
        <v>32</v>
      </c>
      <c r="AL8" s="380">
        <f t="shared" si="1"/>
        <v>33</v>
      </c>
      <c r="AM8" s="380">
        <f t="shared" si="1"/>
        <v>34</v>
      </c>
      <c r="AN8" s="380">
        <f t="shared" si="2"/>
        <v>35</v>
      </c>
      <c r="AO8" s="380">
        <f t="shared" si="2"/>
        <v>36</v>
      </c>
      <c r="AP8" s="380">
        <f t="shared" si="2"/>
        <v>37</v>
      </c>
      <c r="AQ8" s="380">
        <f t="shared" si="2"/>
        <v>38</v>
      </c>
      <c r="AR8" s="380">
        <f t="shared" si="2"/>
        <v>39</v>
      </c>
    </row>
    <row r="9" spans="1:44" hidden="1" x14ac:dyDescent="0.2">
      <c r="A9" s="380"/>
      <c r="B9" s="380" t="s">
        <v>237</v>
      </c>
      <c r="C9" s="7" t="s">
        <v>238</v>
      </c>
      <c r="D9" s="380"/>
      <c r="E9" s="380"/>
      <c r="F9" s="380">
        <f>IF(F7=Inputs!$E$13,1,0)</f>
        <v>0</v>
      </c>
      <c r="G9" s="380">
        <f>IF(G7=Inputs!$E$13,1,0)</f>
        <v>0</v>
      </c>
      <c r="H9" s="380">
        <f>IF(H7=Inputs!$E$13,1,0)</f>
        <v>0</v>
      </c>
      <c r="I9" s="380">
        <f>IF(I7=Inputs!$E$13,1,0)</f>
        <v>0</v>
      </c>
      <c r="J9" s="380">
        <f>IF(J7=Inputs!$E$13,1,0)</f>
        <v>0</v>
      </c>
      <c r="K9" s="380">
        <f>IF(K7=Inputs!$E$13,1,0)</f>
        <v>1</v>
      </c>
      <c r="L9" s="380">
        <f>IF(L7=Inputs!$E$13,1,0)</f>
        <v>0</v>
      </c>
      <c r="M9" s="380">
        <f>IF(M7=Inputs!$E$13,1,0)</f>
        <v>0</v>
      </c>
      <c r="N9" s="380">
        <f>IF(N7=Inputs!$E$13,1,0)</f>
        <v>0</v>
      </c>
      <c r="O9" s="380">
        <f>IF(O7=Inputs!$E$13,1,0)</f>
        <v>0</v>
      </c>
      <c r="P9" s="380">
        <f>IF(P7=Inputs!$E$13,1,0)</f>
        <v>0</v>
      </c>
      <c r="Q9" s="380">
        <f>IF(Q7=Inputs!$E$13,1,0)</f>
        <v>0</v>
      </c>
      <c r="R9" s="380">
        <f>IF(R7=Inputs!$E$13,1,0)</f>
        <v>0</v>
      </c>
      <c r="S9" s="380">
        <f>IF(S7=Inputs!$E$13,1,0)</f>
        <v>0</v>
      </c>
      <c r="T9" s="380">
        <f>IF(T7=Inputs!$E$13,1,0)</f>
        <v>0</v>
      </c>
      <c r="U9" s="380">
        <f>IF(U7=Inputs!$E$13,1,0)</f>
        <v>0</v>
      </c>
      <c r="V9" s="380">
        <f>IF(V7=Inputs!$E$13,1,0)</f>
        <v>0</v>
      </c>
      <c r="W9" s="380">
        <f>IF(W7=Inputs!$E$13,1,0)</f>
        <v>0</v>
      </c>
      <c r="X9" s="380">
        <f>IF(X7=Inputs!$E$13,1,0)</f>
        <v>0</v>
      </c>
      <c r="Y9" s="380">
        <f>IF(Y7=Inputs!$E$13,1,0)</f>
        <v>0</v>
      </c>
      <c r="Z9" s="380">
        <f>IF(Z7=Inputs!$E$13,1,0)</f>
        <v>0</v>
      </c>
      <c r="AA9" s="380">
        <f>IF(AA7=Inputs!$E$13,1,0)</f>
        <v>0</v>
      </c>
      <c r="AB9" s="380">
        <f>IF(AB7=Inputs!$E$13,1,0)</f>
        <v>0</v>
      </c>
      <c r="AC9" s="380">
        <f>IF(AC7=Inputs!$E$13,1,0)</f>
        <v>0</v>
      </c>
      <c r="AD9" s="380">
        <f>IF(AD7=Inputs!$E$13,1,0)</f>
        <v>0</v>
      </c>
      <c r="AE9" s="380">
        <f>IF(AE7=Inputs!$E$13,1,0)</f>
        <v>0</v>
      </c>
      <c r="AF9" s="380">
        <f>IF(AF7=Inputs!$E$13,1,0)</f>
        <v>0</v>
      </c>
      <c r="AG9" s="380">
        <f>IF(AG7=Inputs!$E$13,1,0)</f>
        <v>0</v>
      </c>
      <c r="AH9" s="380">
        <f>IF(AH7=Inputs!$E$13,1,0)</f>
        <v>0</v>
      </c>
      <c r="AI9" s="380">
        <f>IF(AI7=Inputs!$E$13,1,0)</f>
        <v>0</v>
      </c>
      <c r="AJ9" s="380">
        <f>IF(AJ7=Inputs!$E$13,1,0)</f>
        <v>0</v>
      </c>
      <c r="AK9" s="380">
        <f>IF(AK7=Inputs!$E$13,1,0)</f>
        <v>0</v>
      </c>
      <c r="AL9" s="380">
        <f>IF(AL7=Inputs!$E$13,1,0)</f>
        <v>0</v>
      </c>
      <c r="AM9" s="380">
        <f>IF(AM7=Inputs!$E$13,1,0)</f>
        <v>0</v>
      </c>
      <c r="AN9" s="380">
        <f>IF(AN7=Inputs!$E$13,1,0)</f>
        <v>0</v>
      </c>
      <c r="AO9" s="380">
        <f>IF(AO7=Inputs!$E$13,1,0)</f>
        <v>0</v>
      </c>
      <c r="AP9" s="380">
        <f>IF(AP7=Inputs!$E$13,1,0)</f>
        <v>0</v>
      </c>
      <c r="AQ9" s="380">
        <f>IF(AQ7=Inputs!$E$13,1,0)</f>
        <v>0</v>
      </c>
      <c r="AR9" s="380">
        <f>IF(AR7=Inputs!$E$13,1,0)</f>
        <v>0</v>
      </c>
    </row>
    <row r="10" spans="1:44" hidden="1" x14ac:dyDescent="0.2">
      <c r="A10" s="380"/>
      <c r="B10" s="380" t="s">
        <v>239</v>
      </c>
      <c r="C10" s="7" t="s">
        <v>61</v>
      </c>
      <c r="D10" s="380"/>
      <c r="E10" s="380"/>
      <c r="F10" s="380">
        <f t="shared" ref="F10:H10" si="4">F7-$I$7+1</f>
        <v>-2</v>
      </c>
      <c r="G10" s="380">
        <f t="shared" si="4"/>
        <v>-1</v>
      </c>
      <c r="H10" s="380">
        <f t="shared" si="4"/>
        <v>0</v>
      </c>
      <c r="I10" s="380">
        <f>I7-$I$7+1</f>
        <v>1</v>
      </c>
      <c r="J10" s="380">
        <f t="shared" ref="J10:AR10" si="5">J7-$I$7+1</f>
        <v>2</v>
      </c>
      <c r="K10" s="380">
        <f t="shared" si="5"/>
        <v>3</v>
      </c>
      <c r="L10" s="380">
        <f t="shared" si="5"/>
        <v>4</v>
      </c>
      <c r="M10" s="380">
        <f t="shared" si="5"/>
        <v>5</v>
      </c>
      <c r="N10" s="380">
        <f t="shared" si="5"/>
        <v>6</v>
      </c>
      <c r="O10" s="380">
        <f t="shared" si="5"/>
        <v>7</v>
      </c>
      <c r="P10" s="380">
        <f t="shared" si="5"/>
        <v>8</v>
      </c>
      <c r="Q10" s="380">
        <f t="shared" si="5"/>
        <v>9</v>
      </c>
      <c r="R10" s="380">
        <f t="shared" si="5"/>
        <v>10</v>
      </c>
      <c r="S10" s="380">
        <f t="shared" si="5"/>
        <v>11</v>
      </c>
      <c r="T10" s="380">
        <f t="shared" si="5"/>
        <v>12</v>
      </c>
      <c r="U10" s="380">
        <f t="shared" si="5"/>
        <v>13</v>
      </c>
      <c r="V10" s="380">
        <f t="shared" si="5"/>
        <v>14</v>
      </c>
      <c r="W10" s="380">
        <f t="shared" si="5"/>
        <v>15</v>
      </c>
      <c r="X10" s="380">
        <f t="shared" si="5"/>
        <v>16</v>
      </c>
      <c r="Y10" s="380">
        <f t="shared" si="5"/>
        <v>17</v>
      </c>
      <c r="Z10" s="380">
        <f t="shared" si="5"/>
        <v>18</v>
      </c>
      <c r="AA10" s="380">
        <f t="shared" si="5"/>
        <v>19</v>
      </c>
      <c r="AB10" s="380">
        <f t="shared" si="5"/>
        <v>20</v>
      </c>
      <c r="AC10" s="380">
        <f t="shared" si="5"/>
        <v>21</v>
      </c>
      <c r="AD10" s="380">
        <f t="shared" si="5"/>
        <v>22</v>
      </c>
      <c r="AE10" s="380">
        <f t="shared" si="5"/>
        <v>23</v>
      </c>
      <c r="AF10" s="380">
        <f t="shared" si="5"/>
        <v>24</v>
      </c>
      <c r="AG10" s="380">
        <f t="shared" si="5"/>
        <v>25</v>
      </c>
      <c r="AH10" s="380">
        <f t="shared" si="5"/>
        <v>26</v>
      </c>
      <c r="AI10" s="380">
        <f t="shared" si="5"/>
        <v>27</v>
      </c>
      <c r="AJ10" s="380">
        <f t="shared" si="5"/>
        <v>28</v>
      </c>
      <c r="AK10" s="380">
        <f t="shared" si="5"/>
        <v>29</v>
      </c>
      <c r="AL10" s="380">
        <f t="shared" si="5"/>
        <v>30</v>
      </c>
      <c r="AM10" s="380">
        <f t="shared" si="5"/>
        <v>31</v>
      </c>
      <c r="AN10" s="380">
        <f t="shared" si="5"/>
        <v>32</v>
      </c>
      <c r="AO10" s="380">
        <f t="shared" si="5"/>
        <v>33</v>
      </c>
      <c r="AP10" s="380">
        <f t="shared" si="5"/>
        <v>34</v>
      </c>
      <c r="AQ10" s="380">
        <f t="shared" si="5"/>
        <v>35</v>
      </c>
      <c r="AR10" s="380">
        <f t="shared" si="5"/>
        <v>36</v>
      </c>
    </row>
    <row r="11" spans="1:44" hidden="1" x14ac:dyDescent="0.2">
      <c r="A11" s="380"/>
      <c r="B11" s="380" t="s">
        <v>240</v>
      </c>
      <c r="C11" s="7" t="s">
        <v>238</v>
      </c>
      <c r="D11" s="380"/>
      <c r="E11" s="380"/>
      <c r="F11" s="380">
        <f>IF(AND(F7&gt;=Inputs!$E$17,F7&lt;Inputs!$E$26),1,0)</f>
        <v>0</v>
      </c>
      <c r="G11" s="380">
        <f>IF(AND(G7&gt;=Inputs!$E$17,G7&lt;Inputs!$E$26),1,0)</f>
        <v>0</v>
      </c>
      <c r="H11" s="380">
        <f>IF(AND(H7&gt;=Inputs!$E$17,H7&lt;Inputs!$E$26),1,0)</f>
        <v>0</v>
      </c>
      <c r="I11" s="380">
        <f>IF(AND(I7&gt;=Inputs!$E$17,I7&lt;Inputs!$E$26),1,0)</f>
        <v>0</v>
      </c>
      <c r="J11" s="380">
        <f>IF(AND(J7&gt;=Inputs!$E$17,J7&lt;Inputs!$E$26),1,0)</f>
        <v>0</v>
      </c>
      <c r="K11" s="380">
        <f>IF(AND(K7&gt;=Inputs!$E$17,K7&lt;Inputs!$E$26),1,0)</f>
        <v>0</v>
      </c>
      <c r="L11" s="380">
        <f>IF(AND(L7&gt;=Inputs!$E$17,L7&lt;Inputs!$E$26),1,0)</f>
        <v>0</v>
      </c>
      <c r="M11" s="380">
        <f>IF(AND(M7&gt;=Inputs!$E$17,M7&lt;Inputs!$E$26),1,0)</f>
        <v>0</v>
      </c>
      <c r="N11" s="380">
        <f>IF(AND(N7&gt;=Inputs!$E$17,N7&lt;Inputs!$E$26),1,0)</f>
        <v>0</v>
      </c>
      <c r="O11" s="380">
        <f>IF(AND(O7&gt;=Inputs!$E$17,O7&lt;Inputs!$E$26),1,0)</f>
        <v>1</v>
      </c>
      <c r="P11" s="380">
        <f>IF(AND(P7&gt;=Inputs!$E$17,P7&lt;Inputs!$E$26),1,0)</f>
        <v>1</v>
      </c>
      <c r="Q11" s="380">
        <f>IF(AND(Q7&gt;=Inputs!$E$17,Q7&lt;Inputs!$E$26),1,0)</f>
        <v>1</v>
      </c>
      <c r="R11" s="380">
        <f>IF(AND(R7&gt;=Inputs!$E$17,R7&lt;Inputs!$E$26),1,0)</f>
        <v>1</v>
      </c>
      <c r="S11" s="380">
        <f>IF(AND(S7&gt;=Inputs!$E$17,S7&lt;Inputs!$E$26),1,0)</f>
        <v>1</v>
      </c>
      <c r="T11" s="380">
        <f>IF(AND(T7&gt;=Inputs!$E$17,T7&lt;Inputs!$E$26),1,0)</f>
        <v>1</v>
      </c>
      <c r="U11" s="380">
        <f>IF(AND(U7&gt;=Inputs!$E$17,U7&lt;Inputs!$E$26),1,0)</f>
        <v>1</v>
      </c>
      <c r="V11" s="380">
        <f>IF(AND(V7&gt;=Inputs!$E$17,V7&lt;Inputs!$E$26),1,0)</f>
        <v>1</v>
      </c>
      <c r="W11" s="380">
        <f>IF(AND(W7&gt;=Inputs!$E$17,W7&lt;Inputs!$E$26),1,0)</f>
        <v>1</v>
      </c>
      <c r="X11" s="380">
        <f>IF(AND(X7&gt;=Inputs!$E$17,X7&lt;Inputs!$E$26),1,0)</f>
        <v>1</v>
      </c>
      <c r="Y11" s="380">
        <f>IF(AND(Y7&gt;=Inputs!$E$17,Y7&lt;Inputs!$E$26),1,0)</f>
        <v>1</v>
      </c>
      <c r="Z11" s="380">
        <f>IF(AND(Z7&gt;=Inputs!$E$17,Z7&lt;Inputs!$E$26),1,0)</f>
        <v>1</v>
      </c>
      <c r="AA11" s="380">
        <f>IF(AND(AA7&gt;=Inputs!$E$17,AA7&lt;Inputs!$E$26),1,0)</f>
        <v>1</v>
      </c>
      <c r="AB11" s="380">
        <f>IF(AND(AB7&gt;=Inputs!$E$17,AB7&lt;Inputs!$E$26),1,0)</f>
        <v>1</v>
      </c>
      <c r="AC11" s="380">
        <f>IF(AND(AC7&gt;=Inputs!$E$17,AC7&lt;Inputs!$E$26),1,0)</f>
        <v>1</v>
      </c>
      <c r="AD11" s="380">
        <f>IF(AND(AD7&gt;=Inputs!$E$17,AD7&lt;Inputs!$E$26),1,0)</f>
        <v>1</v>
      </c>
      <c r="AE11" s="380">
        <f>IF(AND(AE7&gt;=Inputs!$E$17,AE7&lt;Inputs!$E$26),1,0)</f>
        <v>1</v>
      </c>
      <c r="AF11" s="380">
        <f>IF(AND(AF7&gt;=Inputs!$E$17,AF7&lt;Inputs!$E$26),1,0)</f>
        <v>1</v>
      </c>
      <c r="AG11" s="380">
        <f>IF(AND(AG7&gt;=Inputs!$E$17,AG7&lt;Inputs!$E$26),1,0)</f>
        <v>1</v>
      </c>
      <c r="AH11" s="380">
        <f>IF(AND(AH7&gt;=Inputs!$E$17,AH7&lt;Inputs!$E$26),1,0)</f>
        <v>1</v>
      </c>
      <c r="AI11" s="380">
        <f>IF(AND(AI7&gt;=Inputs!$E$17,AI7&lt;Inputs!$E$26),1,0)</f>
        <v>0</v>
      </c>
      <c r="AJ11" s="380">
        <f>IF(AND(AJ7&gt;=Inputs!$E$17,AJ7&lt;Inputs!$E$26),1,0)</f>
        <v>0</v>
      </c>
      <c r="AK11" s="380">
        <f>IF(AND(AK7&gt;=Inputs!$E$17,AK7&lt;Inputs!$E$26),1,0)</f>
        <v>0</v>
      </c>
      <c r="AL11" s="380">
        <f>IF(AND(AL7&gt;=Inputs!$E$17,AL7&lt;Inputs!$E$26),1,0)</f>
        <v>0</v>
      </c>
      <c r="AM11" s="380">
        <f>IF(AND(AM7&gt;=Inputs!$E$17,AM7&lt;Inputs!$E$26),1,0)</f>
        <v>0</v>
      </c>
      <c r="AN11" s="380">
        <f>IF(AND(AN7&gt;=Inputs!$E$17,AN7&lt;Inputs!$E$26),1,0)</f>
        <v>0</v>
      </c>
      <c r="AO11" s="380">
        <f>IF(AND(AO7&gt;=Inputs!$E$17,AO7&lt;Inputs!$E$26),1,0)</f>
        <v>0</v>
      </c>
      <c r="AP11" s="380">
        <f>IF(AND(AP7&gt;=Inputs!$E$17,AP7&lt;Inputs!$E$26),1,0)</f>
        <v>0</v>
      </c>
      <c r="AQ11" s="380">
        <f>IF(AND(AQ7&gt;=Inputs!$E$17,AQ7&lt;Inputs!$E$26),1,0)</f>
        <v>0</v>
      </c>
      <c r="AR11" s="380">
        <f>IF(AND(AR7&gt;=Inputs!$E$17,AR7&lt;Inputs!$E$26),1,0)</f>
        <v>0</v>
      </c>
    </row>
    <row r="12" spans="1:44" ht="15" x14ac:dyDescent="0.25">
      <c r="A12" s="2" t="s">
        <v>241</v>
      </c>
      <c r="B12" s="380"/>
      <c r="C12" s="7"/>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0"/>
      <c r="AI12" s="380"/>
      <c r="AJ12" s="380"/>
      <c r="AK12" s="380"/>
      <c r="AL12" s="380"/>
      <c r="AM12" s="380"/>
      <c r="AN12" s="380"/>
      <c r="AO12" s="380"/>
      <c r="AP12" s="380"/>
      <c r="AQ12" s="380"/>
      <c r="AR12" s="380"/>
    </row>
    <row r="13" spans="1:44" x14ac:dyDescent="0.2">
      <c r="A13" s="380"/>
      <c r="B13" s="380" t="s">
        <v>242</v>
      </c>
      <c r="C13" s="7" t="s">
        <v>54</v>
      </c>
      <c r="D13" s="380"/>
      <c r="E13" s="380"/>
      <c r="F13" s="380">
        <f>(F11+D13)*F11</f>
        <v>0</v>
      </c>
      <c r="G13" s="380">
        <f t="shared" ref="G13:AG13" si="6">(G11+F13)*G11</f>
        <v>0</v>
      </c>
      <c r="H13" s="380">
        <f t="shared" si="6"/>
        <v>0</v>
      </c>
      <c r="I13" s="380">
        <f t="shared" si="6"/>
        <v>0</v>
      </c>
      <c r="J13" s="380">
        <f t="shared" si="6"/>
        <v>0</v>
      </c>
      <c r="K13" s="380">
        <f t="shared" si="6"/>
        <v>0</v>
      </c>
      <c r="L13" s="380">
        <f t="shared" si="6"/>
        <v>0</v>
      </c>
      <c r="M13" s="380">
        <f t="shared" si="6"/>
        <v>0</v>
      </c>
      <c r="N13" s="380">
        <f t="shared" si="6"/>
        <v>0</v>
      </c>
      <c r="O13" s="380">
        <f t="shared" si="6"/>
        <v>1</v>
      </c>
      <c r="P13" s="380">
        <f t="shared" si="6"/>
        <v>2</v>
      </c>
      <c r="Q13" s="380">
        <f t="shared" si="6"/>
        <v>3</v>
      </c>
      <c r="R13" s="380">
        <f t="shared" si="6"/>
        <v>4</v>
      </c>
      <c r="S13" s="380">
        <f t="shared" si="6"/>
        <v>5</v>
      </c>
      <c r="T13" s="380">
        <f t="shared" si="6"/>
        <v>6</v>
      </c>
      <c r="U13" s="380">
        <f t="shared" si="6"/>
        <v>7</v>
      </c>
      <c r="V13" s="380">
        <f t="shared" si="6"/>
        <v>8</v>
      </c>
      <c r="W13" s="380">
        <f t="shared" si="6"/>
        <v>9</v>
      </c>
      <c r="X13" s="380">
        <f t="shared" si="6"/>
        <v>10</v>
      </c>
      <c r="Y13" s="380">
        <f t="shared" si="6"/>
        <v>11</v>
      </c>
      <c r="Z13" s="380">
        <f t="shared" si="6"/>
        <v>12</v>
      </c>
      <c r="AA13" s="380">
        <f t="shared" si="6"/>
        <v>13</v>
      </c>
      <c r="AB13" s="380">
        <f t="shared" si="6"/>
        <v>14</v>
      </c>
      <c r="AC13" s="380">
        <f t="shared" si="6"/>
        <v>15</v>
      </c>
      <c r="AD13" s="380">
        <f t="shared" si="6"/>
        <v>16</v>
      </c>
      <c r="AE13" s="380">
        <f t="shared" si="6"/>
        <v>17</v>
      </c>
      <c r="AF13" s="380">
        <f t="shared" si="6"/>
        <v>18</v>
      </c>
      <c r="AG13" s="380">
        <f t="shared" si="6"/>
        <v>19</v>
      </c>
      <c r="AH13" s="380">
        <f>(AH11+AG13)*AH11</f>
        <v>20</v>
      </c>
      <c r="AI13" s="380">
        <f t="shared" ref="AI13:AR13" si="7">(AI11+AH13)*AI11</f>
        <v>0</v>
      </c>
      <c r="AJ13" s="380">
        <f t="shared" si="7"/>
        <v>0</v>
      </c>
      <c r="AK13" s="380">
        <f t="shared" si="7"/>
        <v>0</v>
      </c>
      <c r="AL13" s="380">
        <f t="shared" si="7"/>
        <v>0</v>
      </c>
      <c r="AM13" s="380">
        <f t="shared" si="7"/>
        <v>0</v>
      </c>
      <c r="AN13" s="380">
        <f t="shared" si="7"/>
        <v>0</v>
      </c>
      <c r="AO13" s="380">
        <f t="shared" si="7"/>
        <v>0</v>
      </c>
      <c r="AP13" s="380">
        <f t="shared" si="7"/>
        <v>0</v>
      </c>
      <c r="AQ13" s="380">
        <f t="shared" si="7"/>
        <v>0</v>
      </c>
      <c r="AR13" s="380">
        <f t="shared" si="7"/>
        <v>0</v>
      </c>
    </row>
    <row r="14" spans="1:44" ht="15" x14ac:dyDescent="0.25">
      <c r="A14" s="2" t="s">
        <v>9</v>
      </c>
      <c r="B14" s="380"/>
      <c r="C14" s="7"/>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c r="AB14" s="380"/>
      <c r="AC14" s="380"/>
      <c r="AD14" s="380"/>
      <c r="AE14" s="380"/>
      <c r="AF14" s="380"/>
      <c r="AG14" s="380"/>
      <c r="AH14" s="380"/>
      <c r="AI14" s="380"/>
      <c r="AJ14" s="380"/>
      <c r="AK14" s="380"/>
      <c r="AL14" s="380"/>
      <c r="AM14" s="380"/>
      <c r="AN14" s="380"/>
      <c r="AO14" s="380"/>
      <c r="AP14" s="380"/>
      <c r="AQ14" s="380"/>
      <c r="AR14" s="380"/>
    </row>
    <row r="15" spans="1:44" x14ac:dyDescent="0.2">
      <c r="A15" s="380"/>
      <c r="B15" s="380" t="s">
        <v>75</v>
      </c>
      <c r="C15" s="7" t="s">
        <v>54</v>
      </c>
      <c r="D15" s="445">
        <f>Inputs!E29</f>
        <v>0</v>
      </c>
      <c r="E15" s="445"/>
      <c r="F15" s="446">
        <f>1/(1+$D15)^(F$10-1)</f>
        <v>1</v>
      </c>
      <c r="G15" s="446">
        <f t="shared" ref="G15:AR15" si="8">1/(1+$D15)^(G$10-1)</f>
        <v>1</v>
      </c>
      <c r="H15" s="446">
        <f t="shared" si="8"/>
        <v>1</v>
      </c>
      <c r="I15" s="446">
        <f t="shared" si="8"/>
        <v>1</v>
      </c>
      <c r="J15" s="446">
        <f t="shared" si="8"/>
        <v>1</v>
      </c>
      <c r="K15" s="446">
        <f t="shared" si="8"/>
        <v>1</v>
      </c>
      <c r="L15" s="446">
        <f t="shared" si="8"/>
        <v>1</v>
      </c>
      <c r="M15" s="446">
        <f t="shared" si="8"/>
        <v>1</v>
      </c>
      <c r="N15" s="446">
        <f t="shared" si="8"/>
        <v>1</v>
      </c>
      <c r="O15" s="446">
        <f t="shared" si="8"/>
        <v>1</v>
      </c>
      <c r="P15" s="446">
        <f t="shared" si="8"/>
        <v>1</v>
      </c>
      <c r="Q15" s="446">
        <f t="shared" si="8"/>
        <v>1</v>
      </c>
      <c r="R15" s="446">
        <f t="shared" si="8"/>
        <v>1</v>
      </c>
      <c r="S15" s="446">
        <f t="shared" si="8"/>
        <v>1</v>
      </c>
      <c r="T15" s="446">
        <f t="shared" si="8"/>
        <v>1</v>
      </c>
      <c r="U15" s="446">
        <f t="shared" si="8"/>
        <v>1</v>
      </c>
      <c r="V15" s="446">
        <f t="shared" si="8"/>
        <v>1</v>
      </c>
      <c r="W15" s="446">
        <f t="shared" si="8"/>
        <v>1</v>
      </c>
      <c r="X15" s="446">
        <f t="shared" si="8"/>
        <v>1</v>
      </c>
      <c r="Y15" s="446">
        <f t="shared" si="8"/>
        <v>1</v>
      </c>
      <c r="Z15" s="446">
        <f t="shared" si="8"/>
        <v>1</v>
      </c>
      <c r="AA15" s="446">
        <f t="shared" si="8"/>
        <v>1</v>
      </c>
      <c r="AB15" s="446">
        <f t="shared" si="8"/>
        <v>1</v>
      </c>
      <c r="AC15" s="446">
        <f t="shared" si="8"/>
        <v>1</v>
      </c>
      <c r="AD15" s="446">
        <f t="shared" si="8"/>
        <v>1</v>
      </c>
      <c r="AE15" s="446">
        <f t="shared" si="8"/>
        <v>1</v>
      </c>
      <c r="AF15" s="446">
        <f t="shared" si="8"/>
        <v>1</v>
      </c>
      <c r="AG15" s="446">
        <f t="shared" si="8"/>
        <v>1</v>
      </c>
      <c r="AH15" s="446">
        <f t="shared" si="8"/>
        <v>1</v>
      </c>
      <c r="AI15" s="446">
        <f t="shared" si="8"/>
        <v>1</v>
      </c>
      <c r="AJ15" s="446">
        <f t="shared" si="8"/>
        <v>1</v>
      </c>
      <c r="AK15" s="446">
        <f t="shared" si="8"/>
        <v>1</v>
      </c>
      <c r="AL15" s="446">
        <f t="shared" si="8"/>
        <v>1</v>
      </c>
      <c r="AM15" s="446">
        <f t="shared" si="8"/>
        <v>1</v>
      </c>
      <c r="AN15" s="446">
        <f t="shared" si="8"/>
        <v>1</v>
      </c>
      <c r="AO15" s="446">
        <f t="shared" si="8"/>
        <v>1</v>
      </c>
      <c r="AP15" s="446">
        <f t="shared" si="8"/>
        <v>1</v>
      </c>
      <c r="AQ15" s="446">
        <f t="shared" si="8"/>
        <v>1</v>
      </c>
      <c r="AR15" s="446">
        <f t="shared" si="8"/>
        <v>1</v>
      </c>
    </row>
    <row r="16" spans="1:44" x14ac:dyDescent="0.2">
      <c r="A16" s="380"/>
      <c r="B16" s="380" t="str">
        <f>Inputs!$C$30</f>
        <v>2% Discount Factor</v>
      </c>
      <c r="C16" s="7" t="s">
        <v>54</v>
      </c>
      <c r="D16" s="445">
        <f>Inputs!E30</f>
        <v>0.02</v>
      </c>
      <c r="E16" s="445"/>
      <c r="F16" s="446">
        <f t="shared" ref="F16:G16" si="9">MIN(1,IF(F10=0,1,1/(1+$D16)^(F$10-1)))</f>
        <v>1</v>
      </c>
      <c r="G16" s="446">
        <f t="shared" si="9"/>
        <v>1</v>
      </c>
      <c r="H16" s="446">
        <f>MIN(1,IF(H10=0,1,1/(1+$D16)^(H$10-1)))</f>
        <v>1</v>
      </c>
      <c r="I16" s="446">
        <f t="shared" ref="I16:AR16" si="10">MIN(1,IF(I10=0,1,1/(1+$D16)^(I$10-1)))</f>
        <v>1</v>
      </c>
      <c r="J16" s="446">
        <f t="shared" si="10"/>
        <v>0.98039215686274506</v>
      </c>
      <c r="K16" s="446">
        <f t="shared" si="10"/>
        <v>0.96116878123798544</v>
      </c>
      <c r="L16" s="446">
        <f t="shared" si="10"/>
        <v>0.94232233454704462</v>
      </c>
      <c r="M16" s="446">
        <f t="shared" si="10"/>
        <v>0.9238454260265142</v>
      </c>
      <c r="N16" s="446">
        <f t="shared" si="10"/>
        <v>0.90573080982991594</v>
      </c>
      <c r="O16" s="446">
        <f t="shared" si="10"/>
        <v>0.88797138218619198</v>
      </c>
      <c r="P16" s="446">
        <f t="shared" si="10"/>
        <v>0.87056017861391388</v>
      </c>
      <c r="Q16" s="446">
        <f t="shared" si="10"/>
        <v>0.85349037119011162</v>
      </c>
      <c r="R16" s="446">
        <f t="shared" si="10"/>
        <v>0.83675526587265847</v>
      </c>
      <c r="S16" s="446">
        <f t="shared" si="10"/>
        <v>0.82034829987515534</v>
      </c>
      <c r="T16" s="446">
        <f t="shared" si="10"/>
        <v>0.80426303909328967</v>
      </c>
      <c r="U16" s="446">
        <f t="shared" si="10"/>
        <v>0.78849317558165644</v>
      </c>
      <c r="V16" s="446">
        <f t="shared" si="10"/>
        <v>0.77303252508005538</v>
      </c>
      <c r="W16" s="446">
        <f t="shared" si="10"/>
        <v>0.75787502458828948</v>
      </c>
      <c r="X16" s="446">
        <f t="shared" si="10"/>
        <v>0.74301472998851925</v>
      </c>
      <c r="Y16" s="446">
        <f t="shared" si="10"/>
        <v>0.72844581371423445</v>
      </c>
      <c r="Z16" s="446">
        <f t="shared" si="10"/>
        <v>0.7141625624649357</v>
      </c>
      <c r="AA16" s="446">
        <f t="shared" si="10"/>
        <v>0.7001593749656233</v>
      </c>
      <c r="AB16" s="446">
        <f t="shared" si="10"/>
        <v>0.68643075977021895</v>
      </c>
      <c r="AC16" s="446">
        <f t="shared" si="10"/>
        <v>0.67297133310805779</v>
      </c>
      <c r="AD16" s="446">
        <f t="shared" si="10"/>
        <v>0.65977581677260566</v>
      </c>
      <c r="AE16" s="446">
        <f t="shared" si="10"/>
        <v>0.64683903605157411</v>
      </c>
      <c r="AF16" s="446">
        <f t="shared" si="10"/>
        <v>0.63415591769762181</v>
      </c>
      <c r="AG16" s="446">
        <f t="shared" si="10"/>
        <v>0.62172148793884485</v>
      </c>
      <c r="AH16" s="446">
        <f t="shared" si="10"/>
        <v>0.60953087052827937</v>
      </c>
      <c r="AI16" s="446">
        <f t="shared" si="10"/>
        <v>0.59757928483164635</v>
      </c>
      <c r="AJ16" s="446">
        <f t="shared" si="10"/>
        <v>0.58586204395259456</v>
      </c>
      <c r="AK16" s="446">
        <f t="shared" si="10"/>
        <v>0.57437455289470041</v>
      </c>
      <c r="AL16" s="446">
        <f t="shared" si="10"/>
        <v>0.56311230675951029</v>
      </c>
      <c r="AM16" s="446">
        <f t="shared" si="10"/>
        <v>0.55207088897991197</v>
      </c>
      <c r="AN16" s="446">
        <f t="shared" si="10"/>
        <v>0.54124596958814919</v>
      </c>
      <c r="AO16" s="446">
        <f t="shared" si="10"/>
        <v>0.53063330351779314</v>
      </c>
      <c r="AP16" s="446">
        <f t="shared" si="10"/>
        <v>0.52022872893901284</v>
      </c>
      <c r="AQ16" s="446">
        <f t="shared" si="10"/>
        <v>0.51002816562648323</v>
      </c>
      <c r="AR16" s="446">
        <f t="shared" si="10"/>
        <v>0.50002761335929735</v>
      </c>
    </row>
    <row r="17" spans="1:44" x14ac:dyDescent="0.2">
      <c r="A17" s="380"/>
      <c r="B17" s="380" t="str">
        <f>Inputs!$C$31</f>
        <v>3.1% Discount Factor</v>
      </c>
      <c r="C17" s="7" t="s">
        <v>54</v>
      </c>
      <c r="D17" s="445">
        <f>Inputs!E31</f>
        <v>3.1E-2</v>
      </c>
      <c r="E17" s="445"/>
      <c r="F17" s="446">
        <f t="shared" ref="F17:G17" si="11">MIN(1,IF(F10=0,1,1/(1+$D17)^(F$10-1)))</f>
        <v>1</v>
      </c>
      <c r="G17" s="446">
        <f t="shared" si="11"/>
        <v>1</v>
      </c>
      <c r="H17" s="446">
        <f>MIN(1,IF(H10=0,1,1/(1+$D17)^(H$10-1)))</f>
        <v>1</v>
      </c>
      <c r="I17" s="446">
        <f t="shared" ref="I17:AR17" si="12">MIN(1,IF(I10=0,1,1/(1+$D17)^(I$10-1)))</f>
        <v>1</v>
      </c>
      <c r="J17" s="446">
        <f t="shared" si="12"/>
        <v>0.96993210475266745</v>
      </c>
      <c r="K17" s="446">
        <f t="shared" si="12"/>
        <v>0.94076828782993938</v>
      </c>
      <c r="L17" s="446">
        <f t="shared" si="12"/>
        <v>0.91248136549945624</v>
      </c>
      <c r="M17" s="446">
        <f t="shared" si="12"/>
        <v>0.88504497138647553</v>
      </c>
      <c r="N17" s="446">
        <f t="shared" si="12"/>
        <v>0.85843353189764848</v>
      </c>
      <c r="O17" s="446">
        <f t="shared" si="12"/>
        <v>0.83262224238375215</v>
      </c>
      <c r="P17" s="446">
        <f t="shared" si="12"/>
        <v>0.80758704401915837</v>
      </c>
      <c r="Q17" s="446">
        <f t="shared" si="12"/>
        <v>0.78330460137648728</v>
      </c>
      <c r="R17" s="446">
        <f t="shared" si="12"/>
        <v>0.75975228067554545</v>
      </c>
      <c r="S17" s="446">
        <f t="shared" si="12"/>
        <v>0.73690812868627109</v>
      </c>
      <c r="T17" s="446">
        <f t="shared" si="12"/>
        <v>0.71475085226602442</v>
      </c>
      <c r="U17" s="446">
        <f t="shared" si="12"/>
        <v>0.69325979851214781</v>
      </c>
      <c r="V17" s="446">
        <f t="shared" si="12"/>
        <v>0.67241493551129761</v>
      </c>
      <c r="W17" s="446">
        <f t="shared" si="12"/>
        <v>0.65219683366760206</v>
      </c>
      <c r="X17" s="446">
        <f t="shared" si="12"/>
        <v>0.63258664759224259</v>
      </c>
      <c r="Y17" s="446">
        <f t="shared" si="12"/>
        <v>0.6135660985375776</v>
      </c>
      <c r="Z17" s="446">
        <f t="shared" si="12"/>
        <v>0.59511745735943511</v>
      </c>
      <c r="AA17" s="446">
        <f t="shared" si="12"/>
        <v>0.57722352799169274</v>
      </c>
      <c r="AB17" s="446">
        <f t="shared" si="12"/>
        <v>0.55986763141774276</v>
      </c>
      <c r="AC17" s="446">
        <f t="shared" si="12"/>
        <v>0.54303359012390184</v>
      </c>
      <c r="AD17" s="446">
        <f t="shared" si="12"/>
        <v>0.52670571302027336</v>
      </c>
      <c r="AE17" s="446">
        <f t="shared" si="12"/>
        <v>0.51086878081500819</v>
      </c>
      <c r="AF17" s="446">
        <f t="shared" si="12"/>
        <v>0.49550803182832992</v>
      </c>
      <c r="AG17" s="446">
        <f t="shared" si="12"/>
        <v>0.4806091482331038</v>
      </c>
      <c r="AH17" s="446">
        <f t="shared" si="12"/>
        <v>0.46615824270912104</v>
      </c>
      <c r="AI17" s="446">
        <f t="shared" si="12"/>
        <v>0.4521418454986626</v>
      </c>
      <c r="AJ17" s="446">
        <f t="shared" si="12"/>
        <v>0.4385468918512731</v>
      </c>
      <c r="AK17" s="446">
        <f t="shared" si="12"/>
        <v>0.42536070984604568</v>
      </c>
      <c r="AL17" s="446">
        <f t="shared" si="12"/>
        <v>0.41257100858006374</v>
      </c>
      <c r="AM17" s="446">
        <f t="shared" si="12"/>
        <v>0.400165866711992</v>
      </c>
      <c r="AN17" s="446">
        <f t="shared" si="12"/>
        <v>0.38813372135013779</v>
      </c>
      <c r="AO17" s="446">
        <f t="shared" si="12"/>
        <v>0.37646335727462438</v>
      </c>
      <c r="AP17" s="446">
        <f t="shared" si="12"/>
        <v>0.36514389648363188</v>
      </c>
      <c r="AQ17" s="446">
        <f t="shared" si="12"/>
        <v>0.35416478805395912</v>
      </c>
      <c r="AR17" s="446">
        <f t="shared" si="12"/>
        <v>0.34351579830645895</v>
      </c>
    </row>
    <row r="19" spans="1:44" x14ac:dyDescent="0.2">
      <c r="A19" s="380"/>
      <c r="B19" s="380" t="s">
        <v>243</v>
      </c>
      <c r="C19" s="380" t="s">
        <v>48</v>
      </c>
      <c r="D19" s="380" t="s">
        <v>49</v>
      </c>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L19" s="380"/>
      <c r="AM19" s="380"/>
      <c r="AN19" s="380"/>
      <c r="AO19" s="380"/>
      <c r="AP19" s="380"/>
      <c r="AQ19" s="380"/>
      <c r="AR19" s="380"/>
    </row>
    <row r="20" spans="1:44" s="198" customFormat="1" x14ac:dyDescent="0.2">
      <c r="A20" s="199" t="s">
        <v>244</v>
      </c>
    </row>
    <row r="21" spans="1:44" ht="15" x14ac:dyDescent="0.25">
      <c r="A21" s="2" t="s">
        <v>245</v>
      </c>
      <c r="B21" s="380"/>
      <c r="C21" s="380"/>
      <c r="D21" s="380"/>
      <c r="E21" s="380"/>
      <c r="F21" s="380"/>
      <c r="G21" s="380"/>
      <c r="H21" s="380"/>
      <c r="I21" s="380"/>
      <c r="J21" s="380"/>
      <c r="K21" s="380"/>
      <c r="L21" s="380"/>
      <c r="M21" s="380"/>
      <c r="N21" s="380"/>
      <c r="O21" s="380"/>
      <c r="P21" s="380"/>
      <c r="Q21" s="380"/>
      <c r="R21" s="380"/>
      <c r="S21" s="380"/>
      <c r="T21" s="380"/>
      <c r="U21" s="380"/>
      <c r="V21" s="380"/>
      <c r="W21" s="380"/>
      <c r="X21" s="380"/>
      <c r="Y21" s="380"/>
      <c r="Z21" s="380"/>
      <c r="AA21" s="380"/>
      <c r="AB21" s="380"/>
      <c r="AC21" s="380"/>
      <c r="AD21" s="380"/>
      <c r="AE21" s="380"/>
      <c r="AF21" s="380"/>
      <c r="AG21" s="380"/>
      <c r="AH21" s="380"/>
      <c r="AI21" s="380"/>
      <c r="AJ21" s="380"/>
      <c r="AK21" s="380"/>
      <c r="AL21" s="380"/>
      <c r="AM21" s="380"/>
      <c r="AN21" s="380"/>
      <c r="AO21" s="380"/>
      <c r="AP21" s="380"/>
      <c r="AQ21" s="380"/>
      <c r="AR21" s="380"/>
    </row>
    <row r="22" spans="1:44" x14ac:dyDescent="0.2">
      <c r="A22" s="380"/>
      <c r="B22" s="380" t="s">
        <v>24</v>
      </c>
      <c r="C22" s="52" t="s">
        <v>86</v>
      </c>
      <c r="D22" s="440">
        <f t="shared" ref="D22:D27" si="13">SUM(F22:AR22)</f>
        <v>0</v>
      </c>
      <c r="E22" s="380"/>
      <c r="F22" s="417">
        <v>0</v>
      </c>
      <c r="G22" s="417">
        <v>0</v>
      </c>
      <c r="H22" s="417">
        <v>0</v>
      </c>
      <c r="I22" s="417">
        <v>0</v>
      </c>
      <c r="J22" s="417">
        <v>0</v>
      </c>
      <c r="K22" s="417">
        <v>0</v>
      </c>
      <c r="L22" s="417">
        <v>0</v>
      </c>
      <c r="M22" s="417">
        <v>0</v>
      </c>
      <c r="N22" s="417">
        <v>0</v>
      </c>
      <c r="O22" s="417">
        <v>0</v>
      </c>
      <c r="P22" s="417">
        <v>0</v>
      </c>
      <c r="Q22" s="417">
        <v>0</v>
      </c>
      <c r="R22" s="417">
        <v>0</v>
      </c>
      <c r="S22" s="417">
        <v>0</v>
      </c>
      <c r="T22" s="417">
        <v>0</v>
      </c>
      <c r="U22" s="417">
        <v>0</v>
      </c>
      <c r="V22" s="417">
        <v>0</v>
      </c>
      <c r="W22" s="417">
        <v>0</v>
      </c>
      <c r="X22" s="417">
        <v>0</v>
      </c>
      <c r="Y22" s="417">
        <v>0</v>
      </c>
      <c r="Z22" s="417">
        <v>0</v>
      </c>
      <c r="AA22" s="417">
        <v>0</v>
      </c>
      <c r="AB22" s="417">
        <v>0</v>
      </c>
      <c r="AC22" s="417">
        <v>0</v>
      </c>
      <c r="AD22" s="417">
        <v>0</v>
      </c>
      <c r="AE22" s="417">
        <v>0</v>
      </c>
      <c r="AF22" s="417">
        <v>0</v>
      </c>
      <c r="AG22" s="417">
        <v>0</v>
      </c>
      <c r="AH22" s="417">
        <v>0</v>
      </c>
      <c r="AI22" s="417">
        <v>0</v>
      </c>
      <c r="AJ22" s="417">
        <v>0</v>
      </c>
      <c r="AK22" s="417">
        <v>0</v>
      </c>
      <c r="AL22" s="417">
        <v>0</v>
      </c>
      <c r="AM22" s="417">
        <v>0</v>
      </c>
      <c r="AN22" s="417">
        <v>0</v>
      </c>
      <c r="AO22" s="417">
        <v>0</v>
      </c>
      <c r="AP22" s="417">
        <v>0</v>
      </c>
      <c r="AQ22" s="417">
        <v>0</v>
      </c>
      <c r="AR22" s="417">
        <v>0</v>
      </c>
    </row>
    <row r="23" spans="1:44" x14ac:dyDescent="0.2">
      <c r="A23" s="380"/>
      <c r="B23" s="380" t="s">
        <v>246</v>
      </c>
      <c r="C23" s="52" t="s">
        <v>86</v>
      </c>
      <c r="D23" s="440">
        <f t="shared" si="13"/>
        <v>0</v>
      </c>
      <c r="E23" s="380"/>
      <c r="F23" s="417">
        <v>0</v>
      </c>
      <c r="G23" s="417">
        <v>0</v>
      </c>
      <c r="H23" s="417">
        <v>0</v>
      </c>
      <c r="I23" s="417">
        <v>0</v>
      </c>
      <c r="J23" s="417">
        <v>0</v>
      </c>
      <c r="K23" s="417">
        <v>0</v>
      </c>
      <c r="L23" s="417">
        <v>0</v>
      </c>
      <c r="M23" s="417">
        <v>0</v>
      </c>
      <c r="N23" s="417">
        <v>0</v>
      </c>
      <c r="O23" s="417">
        <v>0</v>
      </c>
      <c r="P23" s="417">
        <v>0</v>
      </c>
      <c r="Q23" s="417">
        <v>0</v>
      </c>
      <c r="R23" s="417">
        <v>0</v>
      </c>
      <c r="S23" s="417">
        <v>0</v>
      </c>
      <c r="T23" s="417">
        <v>0</v>
      </c>
      <c r="U23" s="417">
        <v>0</v>
      </c>
      <c r="V23" s="417">
        <v>0</v>
      </c>
      <c r="W23" s="417">
        <v>0</v>
      </c>
      <c r="X23" s="417">
        <v>0</v>
      </c>
      <c r="Y23" s="417">
        <v>0</v>
      </c>
      <c r="Z23" s="417">
        <v>0</v>
      </c>
      <c r="AA23" s="417">
        <v>0</v>
      </c>
      <c r="AB23" s="417">
        <v>0</v>
      </c>
      <c r="AC23" s="417">
        <v>0</v>
      </c>
      <c r="AD23" s="417">
        <v>0</v>
      </c>
      <c r="AE23" s="417">
        <v>0</v>
      </c>
      <c r="AF23" s="417">
        <v>0</v>
      </c>
      <c r="AG23" s="417">
        <v>0</v>
      </c>
      <c r="AH23" s="417">
        <v>0</v>
      </c>
      <c r="AI23" s="417">
        <v>0</v>
      </c>
      <c r="AJ23" s="417">
        <v>0</v>
      </c>
      <c r="AK23" s="417">
        <v>0</v>
      </c>
      <c r="AL23" s="417">
        <v>0</v>
      </c>
      <c r="AM23" s="417">
        <v>0</v>
      </c>
      <c r="AN23" s="417">
        <v>0</v>
      </c>
      <c r="AO23" s="417">
        <v>0</v>
      </c>
      <c r="AP23" s="417">
        <v>0</v>
      </c>
      <c r="AQ23" s="417">
        <v>0</v>
      </c>
      <c r="AR23" s="417">
        <v>0</v>
      </c>
    </row>
    <row r="24" spans="1:44" x14ac:dyDescent="0.2">
      <c r="A24" s="380"/>
      <c r="B24" s="380" t="s">
        <v>247</v>
      </c>
      <c r="C24" s="52" t="s">
        <v>86</v>
      </c>
      <c r="D24" s="440">
        <f t="shared" si="13"/>
        <v>0</v>
      </c>
      <c r="E24" s="380"/>
      <c r="F24" s="417">
        <v>0</v>
      </c>
      <c r="G24" s="417">
        <v>0</v>
      </c>
      <c r="H24" s="417">
        <v>0</v>
      </c>
      <c r="I24" s="417">
        <v>0</v>
      </c>
      <c r="J24" s="417">
        <v>0</v>
      </c>
      <c r="K24" s="417">
        <v>0</v>
      </c>
      <c r="L24" s="417">
        <v>0</v>
      </c>
      <c r="M24" s="417">
        <v>0</v>
      </c>
      <c r="N24" s="417">
        <v>0</v>
      </c>
      <c r="O24" s="417">
        <v>0</v>
      </c>
      <c r="P24" s="417">
        <v>0</v>
      </c>
      <c r="Q24" s="417">
        <v>0</v>
      </c>
      <c r="R24" s="417">
        <v>0</v>
      </c>
      <c r="S24" s="417">
        <v>0</v>
      </c>
      <c r="T24" s="417">
        <v>0</v>
      </c>
      <c r="U24" s="417">
        <v>0</v>
      </c>
      <c r="V24" s="417">
        <v>0</v>
      </c>
      <c r="W24" s="417">
        <v>0</v>
      </c>
      <c r="X24" s="417">
        <v>0</v>
      </c>
      <c r="Y24" s="417">
        <v>0</v>
      </c>
      <c r="Z24" s="417">
        <v>0</v>
      </c>
      <c r="AA24" s="417">
        <v>0</v>
      </c>
      <c r="AB24" s="417">
        <v>0</v>
      </c>
      <c r="AC24" s="417">
        <v>0</v>
      </c>
      <c r="AD24" s="417">
        <v>0</v>
      </c>
      <c r="AE24" s="417">
        <v>0</v>
      </c>
      <c r="AF24" s="417">
        <v>0</v>
      </c>
      <c r="AG24" s="417">
        <v>0</v>
      </c>
      <c r="AH24" s="417">
        <v>0</v>
      </c>
      <c r="AI24" s="417">
        <v>0</v>
      </c>
      <c r="AJ24" s="417">
        <v>0</v>
      </c>
      <c r="AK24" s="417">
        <v>0</v>
      </c>
      <c r="AL24" s="417">
        <v>0</v>
      </c>
      <c r="AM24" s="417">
        <v>0</v>
      </c>
      <c r="AN24" s="417">
        <v>0</v>
      </c>
      <c r="AO24" s="417">
        <v>0</v>
      </c>
      <c r="AP24" s="417">
        <v>0</v>
      </c>
      <c r="AQ24" s="417">
        <v>0</v>
      </c>
      <c r="AR24" s="417">
        <v>0</v>
      </c>
    </row>
    <row r="25" spans="1:44" x14ac:dyDescent="0.2">
      <c r="A25" s="380"/>
      <c r="B25" s="380" t="s">
        <v>248</v>
      </c>
      <c r="C25" s="52" t="s">
        <v>86</v>
      </c>
      <c r="D25" s="440">
        <f t="shared" si="13"/>
        <v>0</v>
      </c>
      <c r="E25" s="380"/>
      <c r="F25" s="417">
        <v>0</v>
      </c>
      <c r="G25" s="417">
        <v>0</v>
      </c>
      <c r="H25" s="417">
        <v>0</v>
      </c>
      <c r="I25" s="417">
        <v>0</v>
      </c>
      <c r="J25" s="417">
        <v>0</v>
      </c>
      <c r="K25" s="417">
        <v>0</v>
      </c>
      <c r="L25" s="417">
        <v>0</v>
      </c>
      <c r="M25" s="417">
        <v>0</v>
      </c>
      <c r="N25" s="417">
        <v>0</v>
      </c>
      <c r="O25" s="417">
        <v>0</v>
      </c>
      <c r="P25" s="417">
        <v>0</v>
      </c>
      <c r="Q25" s="417">
        <v>0</v>
      </c>
      <c r="R25" s="417">
        <v>0</v>
      </c>
      <c r="S25" s="417">
        <v>0</v>
      </c>
      <c r="T25" s="417">
        <v>0</v>
      </c>
      <c r="U25" s="417">
        <v>0</v>
      </c>
      <c r="V25" s="417">
        <v>0</v>
      </c>
      <c r="W25" s="417">
        <v>0</v>
      </c>
      <c r="X25" s="417">
        <v>0</v>
      </c>
      <c r="Y25" s="417">
        <v>0</v>
      </c>
      <c r="Z25" s="417">
        <v>0</v>
      </c>
      <c r="AA25" s="417">
        <v>0</v>
      </c>
      <c r="AB25" s="417">
        <v>0</v>
      </c>
      <c r="AC25" s="417">
        <v>0</v>
      </c>
      <c r="AD25" s="417">
        <v>0</v>
      </c>
      <c r="AE25" s="417">
        <v>0</v>
      </c>
      <c r="AF25" s="417">
        <v>0</v>
      </c>
      <c r="AG25" s="417">
        <v>0</v>
      </c>
      <c r="AH25" s="417">
        <v>0</v>
      </c>
      <c r="AI25" s="417">
        <v>0</v>
      </c>
      <c r="AJ25" s="417">
        <v>0</v>
      </c>
      <c r="AK25" s="417">
        <v>0</v>
      </c>
      <c r="AL25" s="417">
        <v>0</v>
      </c>
      <c r="AM25" s="417">
        <v>0</v>
      </c>
      <c r="AN25" s="417">
        <v>0</v>
      </c>
      <c r="AO25" s="417">
        <v>0</v>
      </c>
      <c r="AP25" s="417">
        <v>0</v>
      </c>
      <c r="AQ25" s="417">
        <v>0</v>
      </c>
      <c r="AR25" s="417">
        <v>0</v>
      </c>
    </row>
    <row r="26" spans="1:44" x14ac:dyDescent="0.2">
      <c r="A26" s="380"/>
      <c r="B26" s="418" t="s">
        <v>249</v>
      </c>
      <c r="C26" s="59" t="s">
        <v>86</v>
      </c>
      <c r="D26" s="447">
        <f t="shared" si="13"/>
        <v>0</v>
      </c>
      <c r="E26" s="418"/>
      <c r="F26" s="448">
        <v>0</v>
      </c>
      <c r="G26" s="448">
        <v>0</v>
      </c>
      <c r="H26" s="448">
        <v>0</v>
      </c>
      <c r="I26" s="448">
        <v>0</v>
      </c>
      <c r="J26" s="448">
        <v>0</v>
      </c>
      <c r="K26" s="448">
        <v>0</v>
      </c>
      <c r="L26" s="448">
        <v>0</v>
      </c>
      <c r="M26" s="448">
        <v>0</v>
      </c>
      <c r="N26" s="448">
        <v>0</v>
      </c>
      <c r="O26" s="448">
        <v>0</v>
      </c>
      <c r="P26" s="448">
        <v>0</v>
      </c>
      <c r="Q26" s="448">
        <v>0</v>
      </c>
      <c r="R26" s="448">
        <v>0</v>
      </c>
      <c r="S26" s="448">
        <v>0</v>
      </c>
      <c r="T26" s="448">
        <v>0</v>
      </c>
      <c r="U26" s="448">
        <v>0</v>
      </c>
      <c r="V26" s="448">
        <v>0</v>
      </c>
      <c r="W26" s="448">
        <v>0</v>
      </c>
      <c r="X26" s="448">
        <v>0</v>
      </c>
      <c r="Y26" s="448">
        <v>0</v>
      </c>
      <c r="Z26" s="448">
        <v>0</v>
      </c>
      <c r="AA26" s="448">
        <v>0</v>
      </c>
      <c r="AB26" s="448">
        <v>0</v>
      </c>
      <c r="AC26" s="448">
        <v>0</v>
      </c>
      <c r="AD26" s="448">
        <v>0</v>
      </c>
      <c r="AE26" s="448">
        <v>0</v>
      </c>
      <c r="AF26" s="448">
        <v>0</v>
      </c>
      <c r="AG26" s="448">
        <v>0</v>
      </c>
      <c r="AH26" s="448">
        <v>0</v>
      </c>
      <c r="AI26" s="448">
        <v>0</v>
      </c>
      <c r="AJ26" s="448">
        <v>0</v>
      </c>
      <c r="AK26" s="448">
        <v>0</v>
      </c>
      <c r="AL26" s="448">
        <v>0</v>
      </c>
      <c r="AM26" s="448">
        <v>0</v>
      </c>
      <c r="AN26" s="448">
        <v>0</v>
      </c>
      <c r="AO26" s="448">
        <v>0</v>
      </c>
      <c r="AP26" s="448">
        <v>0</v>
      </c>
      <c r="AQ26" s="448">
        <v>0</v>
      </c>
      <c r="AR26" s="448">
        <v>0</v>
      </c>
    </row>
    <row r="27" spans="1:44" x14ac:dyDescent="0.2">
      <c r="A27" s="380"/>
      <c r="B27" s="380" t="s">
        <v>250</v>
      </c>
      <c r="C27" s="52" t="s">
        <v>86</v>
      </c>
      <c r="D27" s="440">
        <f t="shared" si="13"/>
        <v>0</v>
      </c>
      <c r="E27" s="380"/>
      <c r="F27" s="417">
        <f>SUM(F22:F26)</f>
        <v>0</v>
      </c>
      <c r="G27" s="417">
        <f t="shared" ref="G27:AR27" si="14">SUM(G22:G26)</f>
        <v>0</v>
      </c>
      <c r="H27" s="417">
        <f t="shared" si="14"/>
        <v>0</v>
      </c>
      <c r="I27" s="417">
        <f t="shared" si="14"/>
        <v>0</v>
      </c>
      <c r="J27" s="417">
        <f t="shared" si="14"/>
        <v>0</v>
      </c>
      <c r="K27" s="417">
        <f t="shared" si="14"/>
        <v>0</v>
      </c>
      <c r="L27" s="417">
        <f t="shared" si="14"/>
        <v>0</v>
      </c>
      <c r="M27" s="417">
        <f t="shared" si="14"/>
        <v>0</v>
      </c>
      <c r="N27" s="417">
        <f t="shared" si="14"/>
        <v>0</v>
      </c>
      <c r="O27" s="417">
        <f t="shared" si="14"/>
        <v>0</v>
      </c>
      <c r="P27" s="417">
        <f t="shared" si="14"/>
        <v>0</v>
      </c>
      <c r="Q27" s="417">
        <f t="shared" si="14"/>
        <v>0</v>
      </c>
      <c r="R27" s="417">
        <f t="shared" si="14"/>
        <v>0</v>
      </c>
      <c r="S27" s="417">
        <f t="shared" si="14"/>
        <v>0</v>
      </c>
      <c r="T27" s="417">
        <f t="shared" si="14"/>
        <v>0</v>
      </c>
      <c r="U27" s="417">
        <f t="shared" si="14"/>
        <v>0</v>
      </c>
      <c r="V27" s="417">
        <f t="shared" si="14"/>
        <v>0</v>
      </c>
      <c r="W27" s="417">
        <f t="shared" si="14"/>
        <v>0</v>
      </c>
      <c r="X27" s="417">
        <f t="shared" si="14"/>
        <v>0</v>
      </c>
      <c r="Y27" s="417">
        <f t="shared" si="14"/>
        <v>0</v>
      </c>
      <c r="Z27" s="417">
        <f t="shared" si="14"/>
        <v>0</v>
      </c>
      <c r="AA27" s="417">
        <f t="shared" si="14"/>
        <v>0</v>
      </c>
      <c r="AB27" s="417">
        <f t="shared" si="14"/>
        <v>0</v>
      </c>
      <c r="AC27" s="417">
        <f t="shared" si="14"/>
        <v>0</v>
      </c>
      <c r="AD27" s="417">
        <f t="shared" si="14"/>
        <v>0</v>
      </c>
      <c r="AE27" s="417">
        <f t="shared" si="14"/>
        <v>0</v>
      </c>
      <c r="AF27" s="417">
        <f t="shared" si="14"/>
        <v>0</v>
      </c>
      <c r="AG27" s="417">
        <f t="shared" si="14"/>
        <v>0</v>
      </c>
      <c r="AH27" s="417">
        <f t="shared" si="14"/>
        <v>0</v>
      </c>
      <c r="AI27" s="417">
        <f t="shared" si="14"/>
        <v>0</v>
      </c>
      <c r="AJ27" s="417">
        <f t="shared" si="14"/>
        <v>0</v>
      </c>
      <c r="AK27" s="417">
        <f t="shared" si="14"/>
        <v>0</v>
      </c>
      <c r="AL27" s="417">
        <f t="shared" si="14"/>
        <v>0</v>
      </c>
      <c r="AM27" s="417">
        <f t="shared" si="14"/>
        <v>0</v>
      </c>
      <c r="AN27" s="417">
        <f t="shared" si="14"/>
        <v>0</v>
      </c>
      <c r="AO27" s="417">
        <f t="shared" si="14"/>
        <v>0</v>
      </c>
      <c r="AP27" s="417">
        <f t="shared" si="14"/>
        <v>0</v>
      </c>
      <c r="AQ27" s="417">
        <f t="shared" si="14"/>
        <v>0</v>
      </c>
      <c r="AR27" s="417">
        <f t="shared" si="14"/>
        <v>0</v>
      </c>
    </row>
    <row r="28" spans="1:44" x14ac:dyDescent="0.2">
      <c r="A28" s="380"/>
      <c r="B28" s="380"/>
      <c r="C28" s="7"/>
      <c r="D28" s="380"/>
      <c r="E28" s="380"/>
      <c r="F28" s="380"/>
      <c r="G28" s="380"/>
      <c r="H28" s="380"/>
      <c r="I28" s="380"/>
      <c r="J28" s="380"/>
      <c r="K28" s="380"/>
      <c r="L28" s="380"/>
      <c r="M28" s="380"/>
      <c r="N28" s="380"/>
      <c r="O28" s="380"/>
      <c r="P28" s="380"/>
      <c r="Q28" s="380"/>
      <c r="R28" s="380"/>
      <c r="S28" s="380"/>
      <c r="T28" s="380"/>
      <c r="U28" s="380"/>
      <c r="V28" s="380"/>
      <c r="W28" s="380"/>
      <c r="X28" s="380"/>
      <c r="Y28" s="380"/>
      <c r="Z28" s="380"/>
      <c r="AA28" s="380"/>
      <c r="AB28" s="380"/>
      <c r="AC28" s="380"/>
      <c r="AD28" s="380"/>
      <c r="AE28" s="380"/>
      <c r="AF28" s="380"/>
      <c r="AG28" s="380"/>
      <c r="AH28" s="380"/>
      <c r="AI28" s="380"/>
      <c r="AJ28" s="380"/>
      <c r="AK28" s="380"/>
      <c r="AL28" s="380"/>
      <c r="AM28" s="380"/>
      <c r="AN28" s="380"/>
      <c r="AO28" s="380"/>
      <c r="AP28" s="380"/>
      <c r="AQ28" s="380"/>
      <c r="AR28" s="380"/>
    </row>
    <row r="29" spans="1:44" ht="15" x14ac:dyDescent="0.25">
      <c r="A29" s="380"/>
      <c r="B29" s="2" t="s">
        <v>251</v>
      </c>
      <c r="C29" s="7"/>
      <c r="D29" s="380"/>
      <c r="E29" s="380"/>
      <c r="F29" s="380"/>
      <c r="G29" s="380"/>
      <c r="H29" s="380"/>
      <c r="I29" s="380"/>
      <c r="J29" s="380"/>
      <c r="K29" s="380"/>
      <c r="L29" s="380"/>
      <c r="M29" s="380"/>
      <c r="N29" s="380"/>
      <c r="O29" s="380"/>
      <c r="P29" s="380"/>
      <c r="Q29" s="380"/>
      <c r="R29" s="380"/>
      <c r="S29" s="380"/>
      <c r="T29" s="380"/>
      <c r="U29" s="380"/>
      <c r="V29" s="380"/>
      <c r="W29" s="380"/>
      <c r="X29" s="380"/>
      <c r="Y29" s="380"/>
      <c r="Z29" s="380"/>
      <c r="AA29" s="380"/>
      <c r="AB29" s="380"/>
      <c r="AC29" s="380"/>
      <c r="AD29" s="380"/>
      <c r="AE29" s="380"/>
      <c r="AF29" s="380"/>
      <c r="AG29" s="380"/>
      <c r="AH29" s="380"/>
      <c r="AI29" s="380"/>
      <c r="AJ29" s="380"/>
      <c r="AK29" s="380"/>
      <c r="AL29" s="380"/>
      <c r="AM29" s="380"/>
      <c r="AN29" s="380"/>
      <c r="AO29" s="380"/>
      <c r="AP29" s="380"/>
      <c r="AQ29" s="380"/>
      <c r="AR29" s="380"/>
    </row>
    <row r="30" spans="1:44" x14ac:dyDescent="0.2">
      <c r="A30" s="380"/>
      <c r="B30" s="380" t="s">
        <v>252</v>
      </c>
      <c r="C30" s="52" t="s">
        <v>86</v>
      </c>
      <c r="D30" s="440">
        <f>SUM(F30:AR30)</f>
        <v>0</v>
      </c>
      <c r="E30" s="417"/>
      <c r="F30" s="417">
        <f>F27*F$15</f>
        <v>0</v>
      </c>
      <c r="G30" s="417">
        <f t="shared" ref="G30:AR30" si="15">G27*G$15</f>
        <v>0</v>
      </c>
      <c r="H30" s="417">
        <f t="shared" si="15"/>
        <v>0</v>
      </c>
      <c r="I30" s="417">
        <f t="shared" si="15"/>
        <v>0</v>
      </c>
      <c r="J30" s="417">
        <f t="shared" si="15"/>
        <v>0</v>
      </c>
      <c r="K30" s="417">
        <f t="shared" si="15"/>
        <v>0</v>
      </c>
      <c r="L30" s="417">
        <f t="shared" si="15"/>
        <v>0</v>
      </c>
      <c r="M30" s="417">
        <f t="shared" si="15"/>
        <v>0</v>
      </c>
      <c r="N30" s="417">
        <f t="shared" si="15"/>
        <v>0</v>
      </c>
      <c r="O30" s="417">
        <f t="shared" si="15"/>
        <v>0</v>
      </c>
      <c r="P30" s="417">
        <f t="shared" si="15"/>
        <v>0</v>
      </c>
      <c r="Q30" s="417">
        <f t="shared" si="15"/>
        <v>0</v>
      </c>
      <c r="R30" s="417">
        <f t="shared" si="15"/>
        <v>0</v>
      </c>
      <c r="S30" s="417">
        <f t="shared" si="15"/>
        <v>0</v>
      </c>
      <c r="T30" s="417">
        <f t="shared" si="15"/>
        <v>0</v>
      </c>
      <c r="U30" s="417">
        <f t="shared" si="15"/>
        <v>0</v>
      </c>
      <c r="V30" s="417">
        <f t="shared" si="15"/>
        <v>0</v>
      </c>
      <c r="W30" s="417">
        <f t="shared" si="15"/>
        <v>0</v>
      </c>
      <c r="X30" s="417">
        <f t="shared" si="15"/>
        <v>0</v>
      </c>
      <c r="Y30" s="417">
        <f t="shared" si="15"/>
        <v>0</v>
      </c>
      <c r="Z30" s="417">
        <f t="shared" si="15"/>
        <v>0</v>
      </c>
      <c r="AA30" s="417">
        <f t="shared" si="15"/>
        <v>0</v>
      </c>
      <c r="AB30" s="417">
        <f t="shared" si="15"/>
        <v>0</v>
      </c>
      <c r="AC30" s="417">
        <f t="shared" si="15"/>
        <v>0</v>
      </c>
      <c r="AD30" s="417">
        <f t="shared" si="15"/>
        <v>0</v>
      </c>
      <c r="AE30" s="417">
        <f t="shared" si="15"/>
        <v>0</v>
      </c>
      <c r="AF30" s="417">
        <f t="shared" si="15"/>
        <v>0</v>
      </c>
      <c r="AG30" s="417">
        <f t="shared" si="15"/>
        <v>0</v>
      </c>
      <c r="AH30" s="417">
        <f t="shared" si="15"/>
        <v>0</v>
      </c>
      <c r="AI30" s="417">
        <f t="shared" si="15"/>
        <v>0</v>
      </c>
      <c r="AJ30" s="417">
        <f t="shared" si="15"/>
        <v>0</v>
      </c>
      <c r="AK30" s="417">
        <f t="shared" si="15"/>
        <v>0</v>
      </c>
      <c r="AL30" s="417">
        <f t="shared" si="15"/>
        <v>0</v>
      </c>
      <c r="AM30" s="417">
        <f t="shared" si="15"/>
        <v>0</v>
      </c>
      <c r="AN30" s="417">
        <f t="shared" si="15"/>
        <v>0</v>
      </c>
      <c r="AO30" s="417">
        <f t="shared" si="15"/>
        <v>0</v>
      </c>
      <c r="AP30" s="417">
        <f t="shared" si="15"/>
        <v>0</v>
      </c>
      <c r="AQ30" s="417">
        <f t="shared" si="15"/>
        <v>0</v>
      </c>
      <c r="AR30" s="417">
        <f t="shared" si="15"/>
        <v>0</v>
      </c>
    </row>
    <row r="31" spans="1:44" x14ac:dyDescent="0.2">
      <c r="A31" s="380"/>
      <c r="B31" s="380" t="str">
        <f>Inputs!$C$30</f>
        <v>2% Discount Factor</v>
      </c>
      <c r="C31" s="52" t="s">
        <v>86</v>
      </c>
      <c r="D31" s="440">
        <f>SUM(F31:AR31)</f>
        <v>0</v>
      </c>
      <c r="E31" s="417"/>
      <c r="F31" s="417">
        <f>F27*F$16</f>
        <v>0</v>
      </c>
      <c r="G31" s="417">
        <f t="shared" ref="G31:AR31" si="16">G27*G$16</f>
        <v>0</v>
      </c>
      <c r="H31" s="417">
        <f t="shared" si="16"/>
        <v>0</v>
      </c>
      <c r="I31" s="417">
        <f t="shared" si="16"/>
        <v>0</v>
      </c>
      <c r="J31" s="417">
        <f t="shared" si="16"/>
        <v>0</v>
      </c>
      <c r="K31" s="417">
        <f t="shared" si="16"/>
        <v>0</v>
      </c>
      <c r="L31" s="417">
        <f t="shared" si="16"/>
        <v>0</v>
      </c>
      <c r="M31" s="417">
        <f t="shared" si="16"/>
        <v>0</v>
      </c>
      <c r="N31" s="417">
        <f t="shared" si="16"/>
        <v>0</v>
      </c>
      <c r="O31" s="417">
        <f t="shared" si="16"/>
        <v>0</v>
      </c>
      <c r="P31" s="417">
        <f t="shared" si="16"/>
        <v>0</v>
      </c>
      <c r="Q31" s="417">
        <f t="shared" si="16"/>
        <v>0</v>
      </c>
      <c r="R31" s="417">
        <f t="shared" si="16"/>
        <v>0</v>
      </c>
      <c r="S31" s="417">
        <f t="shared" si="16"/>
        <v>0</v>
      </c>
      <c r="T31" s="417">
        <f t="shared" si="16"/>
        <v>0</v>
      </c>
      <c r="U31" s="417">
        <f t="shared" si="16"/>
        <v>0</v>
      </c>
      <c r="V31" s="417">
        <f t="shared" si="16"/>
        <v>0</v>
      </c>
      <c r="W31" s="417">
        <f t="shared" si="16"/>
        <v>0</v>
      </c>
      <c r="X31" s="417">
        <f t="shared" si="16"/>
        <v>0</v>
      </c>
      <c r="Y31" s="417">
        <f t="shared" si="16"/>
        <v>0</v>
      </c>
      <c r="Z31" s="417">
        <f t="shared" si="16"/>
        <v>0</v>
      </c>
      <c r="AA31" s="417">
        <f t="shared" si="16"/>
        <v>0</v>
      </c>
      <c r="AB31" s="417">
        <f t="shared" si="16"/>
        <v>0</v>
      </c>
      <c r="AC31" s="417">
        <f t="shared" si="16"/>
        <v>0</v>
      </c>
      <c r="AD31" s="417">
        <f t="shared" si="16"/>
        <v>0</v>
      </c>
      <c r="AE31" s="417">
        <f t="shared" si="16"/>
        <v>0</v>
      </c>
      <c r="AF31" s="417">
        <f t="shared" si="16"/>
        <v>0</v>
      </c>
      <c r="AG31" s="417">
        <f t="shared" si="16"/>
        <v>0</v>
      </c>
      <c r="AH31" s="417">
        <f t="shared" si="16"/>
        <v>0</v>
      </c>
      <c r="AI31" s="417">
        <f t="shared" si="16"/>
        <v>0</v>
      </c>
      <c r="AJ31" s="417">
        <f t="shared" si="16"/>
        <v>0</v>
      </c>
      <c r="AK31" s="417">
        <f t="shared" si="16"/>
        <v>0</v>
      </c>
      <c r="AL31" s="417">
        <f t="shared" si="16"/>
        <v>0</v>
      </c>
      <c r="AM31" s="417">
        <f t="shared" si="16"/>
        <v>0</v>
      </c>
      <c r="AN31" s="417">
        <f t="shared" si="16"/>
        <v>0</v>
      </c>
      <c r="AO31" s="417">
        <f t="shared" si="16"/>
        <v>0</v>
      </c>
      <c r="AP31" s="417">
        <f t="shared" si="16"/>
        <v>0</v>
      </c>
      <c r="AQ31" s="417">
        <f t="shared" si="16"/>
        <v>0</v>
      </c>
      <c r="AR31" s="417">
        <f t="shared" si="16"/>
        <v>0</v>
      </c>
    </row>
    <row r="32" spans="1:44" x14ac:dyDescent="0.2">
      <c r="A32" s="380"/>
      <c r="B32" s="380" t="str">
        <f>Inputs!$C$31</f>
        <v>3.1% Discount Factor</v>
      </c>
      <c r="C32" s="52" t="s">
        <v>86</v>
      </c>
      <c r="D32" s="440">
        <f>SUM(F32:AR32)</f>
        <v>0</v>
      </c>
      <c r="E32" s="417"/>
      <c r="F32" s="417">
        <f>F27*F$17</f>
        <v>0</v>
      </c>
      <c r="G32" s="417">
        <f t="shared" ref="G32:AR32" si="17">G27*G$17</f>
        <v>0</v>
      </c>
      <c r="H32" s="417">
        <f t="shared" si="17"/>
        <v>0</v>
      </c>
      <c r="I32" s="417">
        <f t="shared" si="17"/>
        <v>0</v>
      </c>
      <c r="J32" s="417">
        <f t="shared" si="17"/>
        <v>0</v>
      </c>
      <c r="K32" s="417">
        <f t="shared" si="17"/>
        <v>0</v>
      </c>
      <c r="L32" s="417">
        <f t="shared" si="17"/>
        <v>0</v>
      </c>
      <c r="M32" s="417">
        <f t="shared" si="17"/>
        <v>0</v>
      </c>
      <c r="N32" s="417">
        <f t="shared" si="17"/>
        <v>0</v>
      </c>
      <c r="O32" s="417">
        <f t="shared" si="17"/>
        <v>0</v>
      </c>
      <c r="P32" s="417">
        <f t="shared" si="17"/>
        <v>0</v>
      </c>
      <c r="Q32" s="417">
        <f t="shared" si="17"/>
        <v>0</v>
      </c>
      <c r="R32" s="417">
        <f t="shared" si="17"/>
        <v>0</v>
      </c>
      <c r="S32" s="417">
        <f t="shared" si="17"/>
        <v>0</v>
      </c>
      <c r="T32" s="417">
        <f t="shared" si="17"/>
        <v>0</v>
      </c>
      <c r="U32" s="417">
        <f t="shared" si="17"/>
        <v>0</v>
      </c>
      <c r="V32" s="417">
        <f t="shared" si="17"/>
        <v>0</v>
      </c>
      <c r="W32" s="417">
        <f t="shared" si="17"/>
        <v>0</v>
      </c>
      <c r="X32" s="417">
        <f t="shared" si="17"/>
        <v>0</v>
      </c>
      <c r="Y32" s="417">
        <f t="shared" si="17"/>
        <v>0</v>
      </c>
      <c r="Z32" s="417">
        <f t="shared" si="17"/>
        <v>0</v>
      </c>
      <c r="AA32" s="417">
        <f t="shared" si="17"/>
        <v>0</v>
      </c>
      <c r="AB32" s="417">
        <f t="shared" si="17"/>
        <v>0</v>
      </c>
      <c r="AC32" s="417">
        <f t="shared" si="17"/>
        <v>0</v>
      </c>
      <c r="AD32" s="417">
        <f t="shared" si="17"/>
        <v>0</v>
      </c>
      <c r="AE32" s="417">
        <f t="shared" si="17"/>
        <v>0</v>
      </c>
      <c r="AF32" s="417">
        <f t="shared" si="17"/>
        <v>0</v>
      </c>
      <c r="AG32" s="417">
        <f t="shared" si="17"/>
        <v>0</v>
      </c>
      <c r="AH32" s="417">
        <f t="shared" si="17"/>
        <v>0</v>
      </c>
      <c r="AI32" s="417">
        <f t="shared" si="17"/>
        <v>0</v>
      </c>
      <c r="AJ32" s="417">
        <f t="shared" si="17"/>
        <v>0</v>
      </c>
      <c r="AK32" s="417">
        <f t="shared" si="17"/>
        <v>0</v>
      </c>
      <c r="AL32" s="417">
        <f t="shared" si="17"/>
        <v>0</v>
      </c>
      <c r="AM32" s="417">
        <f t="shared" si="17"/>
        <v>0</v>
      </c>
      <c r="AN32" s="417">
        <f t="shared" si="17"/>
        <v>0</v>
      </c>
      <c r="AO32" s="417">
        <f t="shared" si="17"/>
        <v>0</v>
      </c>
      <c r="AP32" s="417">
        <f t="shared" si="17"/>
        <v>0</v>
      </c>
      <c r="AQ32" s="417">
        <f t="shared" si="17"/>
        <v>0</v>
      </c>
      <c r="AR32" s="417">
        <f t="shared" si="17"/>
        <v>0</v>
      </c>
    </row>
    <row r="33" spans="1:44" x14ac:dyDescent="0.2">
      <c r="A33" s="380"/>
      <c r="B33" s="380"/>
      <c r="C33" s="52"/>
      <c r="D33" s="440"/>
      <c r="E33" s="417"/>
      <c r="F33" s="417"/>
      <c r="G33" s="417"/>
      <c r="H33" s="417"/>
      <c r="I33" s="417"/>
      <c r="J33" s="417"/>
      <c r="K33" s="417"/>
      <c r="L33" s="417"/>
      <c r="M33" s="417"/>
      <c r="N33" s="417"/>
      <c r="O33" s="417"/>
      <c r="P33" s="417"/>
      <c r="Q33" s="417"/>
      <c r="R33" s="417"/>
      <c r="S33" s="417"/>
      <c r="T33" s="417"/>
      <c r="U33" s="417"/>
      <c r="V33" s="417"/>
      <c r="W33" s="417"/>
      <c r="X33" s="417"/>
      <c r="Y33" s="417"/>
      <c r="Z33" s="417"/>
      <c r="AA33" s="417"/>
      <c r="AB33" s="417"/>
      <c r="AC33" s="417"/>
      <c r="AD33" s="417"/>
      <c r="AE33" s="417"/>
      <c r="AF33" s="417"/>
      <c r="AG33" s="417"/>
      <c r="AH33" s="417"/>
      <c r="AI33" s="417"/>
      <c r="AJ33" s="417"/>
      <c r="AK33" s="417"/>
      <c r="AL33" s="417"/>
      <c r="AM33" s="417"/>
      <c r="AN33" s="417"/>
      <c r="AO33" s="417"/>
      <c r="AP33" s="417"/>
      <c r="AQ33" s="417"/>
      <c r="AR33" s="417"/>
    </row>
    <row r="34" spans="1:44" ht="15" x14ac:dyDescent="0.25">
      <c r="A34" s="2" t="s">
        <v>253</v>
      </c>
      <c r="B34" s="380"/>
      <c r="C34" s="52"/>
      <c r="D34" s="440"/>
      <c r="E34" s="417"/>
      <c r="F34" s="417"/>
      <c r="G34" s="417"/>
      <c r="H34" s="417"/>
      <c r="I34" s="417"/>
      <c r="J34" s="417"/>
      <c r="K34" s="417"/>
      <c r="L34" s="417"/>
      <c r="M34" s="417"/>
      <c r="N34" s="417"/>
      <c r="O34" s="417"/>
      <c r="P34" s="417"/>
      <c r="Q34" s="417"/>
      <c r="R34" s="417"/>
      <c r="S34" s="417"/>
      <c r="T34" s="417"/>
      <c r="U34" s="417"/>
      <c r="V34" s="417"/>
      <c r="W34" s="417"/>
      <c r="X34" s="417"/>
      <c r="Y34" s="417"/>
      <c r="Z34" s="417"/>
      <c r="AA34" s="417"/>
      <c r="AB34" s="417"/>
      <c r="AC34" s="417"/>
      <c r="AD34" s="417"/>
      <c r="AE34" s="417"/>
      <c r="AF34" s="417"/>
      <c r="AG34" s="417"/>
      <c r="AH34" s="417"/>
      <c r="AI34" s="417"/>
      <c r="AJ34" s="417"/>
      <c r="AK34" s="417"/>
      <c r="AL34" s="417"/>
      <c r="AM34" s="417"/>
      <c r="AN34" s="417"/>
      <c r="AO34" s="417"/>
      <c r="AP34" s="417"/>
      <c r="AQ34" s="417"/>
      <c r="AR34" s="417"/>
    </row>
    <row r="35" spans="1:44" x14ac:dyDescent="0.2">
      <c r="A35" s="380"/>
      <c r="B35" s="418" t="s">
        <v>254</v>
      </c>
      <c r="C35" s="59" t="s">
        <v>86</v>
      </c>
      <c r="D35" s="447">
        <f>SUM(F35:AR35)</f>
        <v>3942884.1483426318</v>
      </c>
      <c r="E35" s="418"/>
      <c r="F35" s="448">
        <f>IFERROR(VLOOKUP(F$7,'REF Project Costs'!$A$4:$I$16,2,FALSE),0)</f>
        <v>0</v>
      </c>
      <c r="G35" s="448">
        <f>IFERROR(VLOOKUP(G$7,'REF Project Costs'!$A$4:$I$16,2,FALSE),0)</f>
        <v>0</v>
      </c>
      <c r="H35" s="448">
        <f>IFERROR(VLOOKUP(H$7,'REF Project Costs'!$A$4:$I$16,2,FALSE),0)</f>
        <v>0</v>
      </c>
      <c r="I35" s="448">
        <f>IFERROR(VLOOKUP(I$7,'REF Project Costs'!$A$4:$I$16,2,FALSE),0)</f>
        <v>0</v>
      </c>
      <c r="J35" s="448">
        <f>IFERROR(VLOOKUP(J$7,'REF Project Costs'!$A$4:$I$16,2,FALSE),0)</f>
        <v>0</v>
      </c>
      <c r="K35" s="448">
        <f>IFERROR(VLOOKUP(K$7,'REF Project Costs'!$A$4:$I$16,2,FALSE),0)</f>
        <v>0</v>
      </c>
      <c r="L35" s="448">
        <f>IFERROR(VLOOKUP(L$7,'REF Project Costs'!$A$4:$I$16,2,FALSE),0)</f>
        <v>0</v>
      </c>
      <c r="M35" s="448">
        <f>IFERROR(VLOOKUP(M$7,'REF Project Costs'!$A$4:$I$16,2,FALSE),0)</f>
        <v>0</v>
      </c>
      <c r="N35" s="448">
        <f>IFERROR(VLOOKUP(N$7,'REF Project Costs'!$A$4:$I$16,2,FALSE),0)</f>
        <v>0</v>
      </c>
      <c r="O35" s="448">
        <f>IFERROR(VLOOKUP(O$7,'REF Project Costs'!$A$4:$I$16,2,FALSE),0)</f>
        <v>0</v>
      </c>
      <c r="P35" s="448">
        <f>IFERROR(VLOOKUP(P$7,'REF Project Costs'!$A$4:$I$16,2,FALSE),0)</f>
        <v>0</v>
      </c>
      <c r="Q35" s="448">
        <f>IFERROR(VLOOKUP(Q$7,'REF Project Costs'!$A$4:$I$16,2,FALSE),0)</f>
        <v>0</v>
      </c>
      <c r="R35" s="448">
        <f>IFERROR(VLOOKUP(R$7,'REF Project Costs'!$A$4:$I$16,2,FALSE),0)</f>
        <v>1504718.0982784855</v>
      </c>
      <c r="S35" s="448">
        <f>IFERROR(VLOOKUP(S$7,'REF Project Costs'!$A$4:$I$16,2,FALSE),0)</f>
        <v>0</v>
      </c>
      <c r="T35" s="448">
        <f>IFERROR(VLOOKUP(T$7,'REF Project Costs'!$A$4:$I$16,2,FALSE),0)</f>
        <v>0</v>
      </c>
      <c r="U35" s="448">
        <f>IFERROR(VLOOKUP(U$7,'REF Project Costs'!$A$4:$I$16,2,FALSE),0)</f>
        <v>0</v>
      </c>
      <c r="V35" s="448">
        <f>IFERROR(VLOOKUP(V$7,'REF Project Costs'!$A$4:$I$16,2,FALSE),0)</f>
        <v>0</v>
      </c>
      <c r="W35" s="448">
        <f>IFERROR(VLOOKUP(W$7,'REF Project Costs'!$A$4:$I$16,2,FALSE),0)</f>
        <v>933447.95178566093</v>
      </c>
      <c r="X35" s="448">
        <f>IFERROR(VLOOKUP(X$7,'REF Project Costs'!$A$4:$I$16,2,FALSE),0)</f>
        <v>0</v>
      </c>
      <c r="Y35" s="448">
        <f>IFERROR(VLOOKUP(Y$7,'REF Project Costs'!$A$4:$I$16,2,FALSE),0)</f>
        <v>0</v>
      </c>
      <c r="Z35" s="448">
        <f>IFERROR(VLOOKUP(Z$7,'REF Project Costs'!$A$4:$I$16,2,FALSE),0)</f>
        <v>0</v>
      </c>
      <c r="AA35" s="448">
        <f>IFERROR(VLOOKUP(AA$7,'REF Project Costs'!$A$4:$I$16,2,FALSE),0)</f>
        <v>0</v>
      </c>
      <c r="AB35" s="448">
        <f>IFERROR(VLOOKUP(AB$7,'REF Project Costs'!$A$4:$I$16,2,FALSE),0)</f>
        <v>0</v>
      </c>
      <c r="AC35" s="448">
        <f>IFERROR(VLOOKUP(AC$7,'REF Project Costs'!$A$4:$I$16,2,FALSE),0)</f>
        <v>0</v>
      </c>
      <c r="AD35" s="448">
        <f>IFERROR(VLOOKUP(AD$7,'REF Project Costs'!$A$4:$I$16,2,FALSE),0)</f>
        <v>0</v>
      </c>
      <c r="AE35" s="448">
        <f>IFERROR(VLOOKUP(AE$7,'REF Project Costs'!$A$4:$I$16,2,FALSE),0)</f>
        <v>0</v>
      </c>
      <c r="AF35" s="448">
        <f>IFERROR(VLOOKUP(AF$7,'REF Project Costs'!$A$4:$I$16,2,FALSE),0)</f>
        <v>0</v>
      </c>
      <c r="AG35" s="448">
        <f>IFERROR(VLOOKUP(AG$7,'REF Project Costs'!$A$4:$I$16,2,FALSE),0)</f>
        <v>1504718.0982784855</v>
      </c>
      <c r="AH35" s="448">
        <f>IFERROR(VLOOKUP(AH$7,'REF Project Costs'!$A$4:$I$16,2,FALSE),0)</f>
        <v>0</v>
      </c>
      <c r="AI35" s="448">
        <f>IFERROR(VLOOKUP(AI$7,'REF Project Costs'!$A$4:$I$16,2,FALSE),0)</f>
        <v>0</v>
      </c>
      <c r="AJ35" s="448">
        <f>IFERROR(VLOOKUP(AJ$7,'REF Project Costs'!$A$4:$I$16,2,FALSE),0)</f>
        <v>0</v>
      </c>
      <c r="AK35" s="448">
        <f>IFERROR(VLOOKUP(AK$7,'REF Project Costs'!$A$4:$I$16,2,FALSE),0)</f>
        <v>0</v>
      </c>
      <c r="AL35" s="448">
        <f>IFERROR(VLOOKUP(AL$7,'REF Project Costs'!$A$4:$I$16,2,FALSE),0)</f>
        <v>0</v>
      </c>
      <c r="AM35" s="448">
        <f>IFERROR(VLOOKUP(AM$7,'REF Project Costs'!$A$4:$I$16,2,FALSE),0)</f>
        <v>0</v>
      </c>
      <c r="AN35" s="448">
        <f>IFERROR(VLOOKUP(AN$7,'REF Project Costs'!$A$4:$I$16,2,FALSE),0)</f>
        <v>0</v>
      </c>
      <c r="AO35" s="448">
        <f>IFERROR(VLOOKUP(AO$7,'REF Project Costs'!$A$4:$I$16,2,FALSE),0)</f>
        <v>0</v>
      </c>
      <c r="AP35" s="448">
        <f>IFERROR(VLOOKUP(AP$7,'REF Project Costs'!$A$4:$I$16,2,FALSE),0)</f>
        <v>0</v>
      </c>
      <c r="AQ35" s="448">
        <f>IFERROR(VLOOKUP(AQ$7,'REF Project Costs'!$A$4:$I$16,2,FALSE),0)</f>
        <v>0</v>
      </c>
      <c r="AR35" s="448">
        <f>IFERROR(VLOOKUP(AR$7,'REF Project Costs'!$A$4:$I$16,2,FALSE),0)</f>
        <v>0</v>
      </c>
    </row>
    <row r="36" spans="1:44" x14ac:dyDescent="0.2">
      <c r="A36" s="380"/>
      <c r="B36" s="380" t="s">
        <v>250</v>
      </c>
      <c r="C36" s="52" t="s">
        <v>86</v>
      </c>
      <c r="D36" s="440">
        <f>SUM(F36:AR36)</f>
        <v>3942884.1483426318</v>
      </c>
      <c r="E36" s="380"/>
      <c r="F36" s="417">
        <f t="shared" ref="F36:AR36" si="18">SUM(F32:F35)</f>
        <v>0</v>
      </c>
      <c r="G36" s="417">
        <f t="shared" si="18"/>
        <v>0</v>
      </c>
      <c r="H36" s="417">
        <f t="shared" si="18"/>
        <v>0</v>
      </c>
      <c r="I36" s="417">
        <f t="shared" si="18"/>
        <v>0</v>
      </c>
      <c r="J36" s="417">
        <f t="shared" si="18"/>
        <v>0</v>
      </c>
      <c r="K36" s="417">
        <f t="shared" si="18"/>
        <v>0</v>
      </c>
      <c r="L36" s="417">
        <f t="shared" si="18"/>
        <v>0</v>
      </c>
      <c r="M36" s="417">
        <f t="shared" si="18"/>
        <v>0</v>
      </c>
      <c r="N36" s="417">
        <f t="shared" si="18"/>
        <v>0</v>
      </c>
      <c r="O36" s="417">
        <f t="shared" si="18"/>
        <v>0</v>
      </c>
      <c r="P36" s="417">
        <f t="shared" si="18"/>
        <v>0</v>
      </c>
      <c r="Q36" s="417">
        <f t="shared" si="18"/>
        <v>0</v>
      </c>
      <c r="R36" s="417">
        <f t="shared" si="18"/>
        <v>1504718.0982784855</v>
      </c>
      <c r="S36" s="417">
        <f t="shared" si="18"/>
        <v>0</v>
      </c>
      <c r="T36" s="417">
        <f t="shared" si="18"/>
        <v>0</v>
      </c>
      <c r="U36" s="417">
        <f t="shared" si="18"/>
        <v>0</v>
      </c>
      <c r="V36" s="417">
        <f t="shared" si="18"/>
        <v>0</v>
      </c>
      <c r="W36" s="417">
        <f t="shared" si="18"/>
        <v>933447.95178566093</v>
      </c>
      <c r="X36" s="417">
        <f t="shared" si="18"/>
        <v>0</v>
      </c>
      <c r="Y36" s="417">
        <f t="shared" si="18"/>
        <v>0</v>
      </c>
      <c r="Z36" s="417">
        <f t="shared" si="18"/>
        <v>0</v>
      </c>
      <c r="AA36" s="417">
        <f t="shared" si="18"/>
        <v>0</v>
      </c>
      <c r="AB36" s="417">
        <f t="shared" si="18"/>
        <v>0</v>
      </c>
      <c r="AC36" s="417">
        <f t="shared" si="18"/>
        <v>0</v>
      </c>
      <c r="AD36" s="417">
        <f t="shared" si="18"/>
        <v>0</v>
      </c>
      <c r="AE36" s="417">
        <f t="shared" si="18"/>
        <v>0</v>
      </c>
      <c r="AF36" s="417">
        <f t="shared" si="18"/>
        <v>0</v>
      </c>
      <c r="AG36" s="417">
        <f t="shared" si="18"/>
        <v>1504718.0982784855</v>
      </c>
      <c r="AH36" s="417">
        <f t="shared" si="18"/>
        <v>0</v>
      </c>
      <c r="AI36" s="417">
        <f t="shared" si="18"/>
        <v>0</v>
      </c>
      <c r="AJ36" s="417">
        <f t="shared" si="18"/>
        <v>0</v>
      </c>
      <c r="AK36" s="417">
        <f t="shared" si="18"/>
        <v>0</v>
      </c>
      <c r="AL36" s="417">
        <f t="shared" si="18"/>
        <v>0</v>
      </c>
      <c r="AM36" s="417">
        <f t="shared" si="18"/>
        <v>0</v>
      </c>
      <c r="AN36" s="417">
        <f t="shared" si="18"/>
        <v>0</v>
      </c>
      <c r="AO36" s="417">
        <f t="shared" si="18"/>
        <v>0</v>
      </c>
      <c r="AP36" s="417">
        <f t="shared" si="18"/>
        <v>0</v>
      </c>
      <c r="AQ36" s="417">
        <f t="shared" si="18"/>
        <v>0</v>
      </c>
      <c r="AR36" s="417">
        <f t="shared" si="18"/>
        <v>0</v>
      </c>
    </row>
    <row r="37" spans="1:44" x14ac:dyDescent="0.2">
      <c r="A37" s="380"/>
      <c r="B37" s="380"/>
      <c r="C37" s="52"/>
      <c r="D37" s="440"/>
      <c r="E37" s="380"/>
      <c r="F37" s="417"/>
      <c r="G37" s="417"/>
      <c r="H37" s="417"/>
      <c r="I37" s="417"/>
      <c r="J37" s="417"/>
      <c r="K37" s="417"/>
      <c r="L37" s="417"/>
      <c r="M37" s="417"/>
      <c r="N37" s="417"/>
      <c r="O37" s="417"/>
      <c r="P37" s="417"/>
      <c r="Q37" s="417"/>
      <c r="R37" s="417"/>
      <c r="S37" s="417"/>
      <c r="T37" s="417"/>
      <c r="U37" s="417"/>
      <c r="V37" s="417"/>
      <c r="W37" s="417"/>
      <c r="X37" s="417"/>
      <c r="Y37" s="417"/>
      <c r="Z37" s="417"/>
      <c r="AA37" s="417"/>
      <c r="AB37" s="417"/>
      <c r="AC37" s="417"/>
      <c r="AD37" s="417"/>
      <c r="AE37" s="417"/>
      <c r="AF37" s="417"/>
      <c r="AG37" s="417"/>
      <c r="AH37" s="417"/>
      <c r="AI37" s="417"/>
      <c r="AJ37" s="417"/>
      <c r="AK37" s="417"/>
      <c r="AL37" s="417"/>
      <c r="AM37" s="417"/>
      <c r="AN37" s="417"/>
      <c r="AO37" s="417"/>
      <c r="AP37" s="417"/>
      <c r="AQ37" s="417"/>
      <c r="AR37" s="417"/>
    </row>
    <row r="38" spans="1:44" ht="15" x14ac:dyDescent="0.25">
      <c r="A38" s="380"/>
      <c r="B38" s="2" t="s">
        <v>251</v>
      </c>
      <c r="C38" s="7"/>
      <c r="D38" s="380"/>
      <c r="E38" s="380"/>
      <c r="F38" s="380"/>
      <c r="G38" s="380"/>
      <c r="H38" s="380"/>
      <c r="I38" s="380"/>
      <c r="J38" s="380"/>
      <c r="K38" s="380"/>
      <c r="L38" s="380"/>
      <c r="M38" s="380"/>
      <c r="N38" s="380"/>
      <c r="O38" s="380"/>
      <c r="P38" s="380"/>
      <c r="Q38" s="380"/>
      <c r="R38" s="380"/>
      <c r="S38" s="380"/>
      <c r="T38" s="380"/>
      <c r="U38" s="380"/>
      <c r="V38" s="380"/>
      <c r="W38" s="380"/>
      <c r="X38" s="380"/>
      <c r="Y38" s="380"/>
      <c r="Z38" s="380"/>
      <c r="AA38" s="380"/>
      <c r="AB38" s="380"/>
      <c r="AC38" s="380"/>
      <c r="AD38" s="380"/>
      <c r="AE38" s="380"/>
      <c r="AF38" s="380"/>
      <c r="AG38" s="380"/>
      <c r="AH38" s="380"/>
      <c r="AI38" s="380"/>
      <c r="AJ38" s="380"/>
      <c r="AK38" s="380"/>
      <c r="AL38" s="380"/>
      <c r="AM38" s="380"/>
      <c r="AN38" s="380"/>
      <c r="AO38" s="380"/>
      <c r="AP38" s="380"/>
      <c r="AQ38" s="380"/>
      <c r="AR38" s="380"/>
    </row>
    <row r="39" spans="1:44" x14ac:dyDescent="0.2">
      <c r="A39" s="380"/>
      <c r="B39" s="380" t="s">
        <v>252</v>
      </c>
      <c r="C39" s="52" t="s">
        <v>86</v>
      </c>
      <c r="D39" s="440">
        <f>SUM(F39:AR39)</f>
        <v>3942884.1483426318</v>
      </c>
      <c r="E39" s="417"/>
      <c r="F39" s="417">
        <f>F$36*F15</f>
        <v>0</v>
      </c>
      <c r="G39" s="417">
        <f t="shared" ref="G39:AR39" si="19">G$36*G15</f>
        <v>0</v>
      </c>
      <c r="H39" s="417">
        <f t="shared" si="19"/>
        <v>0</v>
      </c>
      <c r="I39" s="417">
        <f t="shared" si="19"/>
        <v>0</v>
      </c>
      <c r="J39" s="417">
        <f t="shared" si="19"/>
        <v>0</v>
      </c>
      <c r="K39" s="417">
        <f t="shared" si="19"/>
        <v>0</v>
      </c>
      <c r="L39" s="417">
        <f t="shared" si="19"/>
        <v>0</v>
      </c>
      <c r="M39" s="417">
        <f t="shared" si="19"/>
        <v>0</v>
      </c>
      <c r="N39" s="417">
        <f t="shared" si="19"/>
        <v>0</v>
      </c>
      <c r="O39" s="417">
        <f t="shared" si="19"/>
        <v>0</v>
      </c>
      <c r="P39" s="417">
        <f t="shared" si="19"/>
        <v>0</v>
      </c>
      <c r="Q39" s="417">
        <f t="shared" si="19"/>
        <v>0</v>
      </c>
      <c r="R39" s="417">
        <f t="shared" si="19"/>
        <v>1504718.0982784855</v>
      </c>
      <c r="S39" s="417">
        <f t="shared" si="19"/>
        <v>0</v>
      </c>
      <c r="T39" s="417">
        <f t="shared" si="19"/>
        <v>0</v>
      </c>
      <c r="U39" s="417">
        <f t="shared" si="19"/>
        <v>0</v>
      </c>
      <c r="V39" s="417">
        <f t="shared" si="19"/>
        <v>0</v>
      </c>
      <c r="W39" s="417">
        <f t="shared" si="19"/>
        <v>933447.95178566093</v>
      </c>
      <c r="X39" s="417">
        <f t="shared" si="19"/>
        <v>0</v>
      </c>
      <c r="Y39" s="417">
        <f t="shared" si="19"/>
        <v>0</v>
      </c>
      <c r="Z39" s="417">
        <f t="shared" si="19"/>
        <v>0</v>
      </c>
      <c r="AA39" s="417">
        <f t="shared" si="19"/>
        <v>0</v>
      </c>
      <c r="AB39" s="417">
        <f t="shared" si="19"/>
        <v>0</v>
      </c>
      <c r="AC39" s="417">
        <f t="shared" si="19"/>
        <v>0</v>
      </c>
      <c r="AD39" s="417">
        <f t="shared" si="19"/>
        <v>0</v>
      </c>
      <c r="AE39" s="417">
        <f t="shared" si="19"/>
        <v>0</v>
      </c>
      <c r="AF39" s="417">
        <f t="shared" si="19"/>
        <v>0</v>
      </c>
      <c r="AG39" s="417">
        <f t="shared" si="19"/>
        <v>1504718.0982784855</v>
      </c>
      <c r="AH39" s="417">
        <f t="shared" si="19"/>
        <v>0</v>
      </c>
      <c r="AI39" s="417">
        <f t="shared" si="19"/>
        <v>0</v>
      </c>
      <c r="AJ39" s="417">
        <f t="shared" si="19"/>
        <v>0</v>
      </c>
      <c r="AK39" s="417">
        <f t="shared" si="19"/>
        <v>0</v>
      </c>
      <c r="AL39" s="417">
        <f t="shared" si="19"/>
        <v>0</v>
      </c>
      <c r="AM39" s="417">
        <f t="shared" si="19"/>
        <v>0</v>
      </c>
      <c r="AN39" s="417">
        <f t="shared" si="19"/>
        <v>0</v>
      </c>
      <c r="AO39" s="417">
        <f t="shared" si="19"/>
        <v>0</v>
      </c>
      <c r="AP39" s="417">
        <f t="shared" si="19"/>
        <v>0</v>
      </c>
      <c r="AQ39" s="417">
        <f t="shared" si="19"/>
        <v>0</v>
      </c>
      <c r="AR39" s="417">
        <f t="shared" si="19"/>
        <v>0</v>
      </c>
    </row>
    <row r="40" spans="1:44" x14ac:dyDescent="0.2">
      <c r="A40" s="380"/>
      <c r="B40" s="380" t="str">
        <f>Inputs!$C$30</f>
        <v>2% Discount Factor</v>
      </c>
      <c r="C40" s="52" t="s">
        <v>86</v>
      </c>
      <c r="D40" s="440">
        <f>SUM(F40:AR40)</f>
        <v>2902033.2567900708</v>
      </c>
      <c r="E40" s="417"/>
      <c r="F40" s="417">
        <f t="shared" ref="F40:AR40" si="20">F$36*F16</f>
        <v>0</v>
      </c>
      <c r="G40" s="417">
        <f t="shared" si="20"/>
        <v>0</v>
      </c>
      <c r="H40" s="417">
        <f t="shared" si="20"/>
        <v>0</v>
      </c>
      <c r="I40" s="417">
        <f t="shared" si="20"/>
        <v>0</v>
      </c>
      <c r="J40" s="417">
        <f t="shared" si="20"/>
        <v>0</v>
      </c>
      <c r="K40" s="417">
        <f t="shared" si="20"/>
        <v>0</v>
      </c>
      <c r="L40" s="417">
        <f t="shared" si="20"/>
        <v>0</v>
      </c>
      <c r="M40" s="417">
        <f t="shared" si="20"/>
        <v>0</v>
      </c>
      <c r="N40" s="417">
        <f t="shared" si="20"/>
        <v>0</v>
      </c>
      <c r="O40" s="417">
        <f t="shared" si="20"/>
        <v>0</v>
      </c>
      <c r="P40" s="417">
        <f t="shared" si="20"/>
        <v>0</v>
      </c>
      <c r="Q40" s="417">
        <f t="shared" si="20"/>
        <v>0</v>
      </c>
      <c r="R40" s="417">
        <f t="shared" si="20"/>
        <v>1259080.7923884152</v>
      </c>
      <c r="S40" s="417">
        <f t="shared" si="20"/>
        <v>0</v>
      </c>
      <c r="T40" s="417">
        <f t="shared" si="20"/>
        <v>0</v>
      </c>
      <c r="U40" s="417">
        <f t="shared" si="20"/>
        <v>0</v>
      </c>
      <c r="V40" s="417">
        <f t="shared" si="20"/>
        <v>0</v>
      </c>
      <c r="W40" s="417">
        <f t="shared" si="20"/>
        <v>707436.88941144629</v>
      </c>
      <c r="X40" s="417">
        <f t="shared" si="20"/>
        <v>0</v>
      </c>
      <c r="Y40" s="417">
        <f t="shared" si="20"/>
        <v>0</v>
      </c>
      <c r="Z40" s="417">
        <f t="shared" si="20"/>
        <v>0</v>
      </c>
      <c r="AA40" s="417">
        <f t="shared" si="20"/>
        <v>0</v>
      </c>
      <c r="AB40" s="417">
        <f t="shared" si="20"/>
        <v>0</v>
      </c>
      <c r="AC40" s="417">
        <f t="shared" si="20"/>
        <v>0</v>
      </c>
      <c r="AD40" s="417">
        <f t="shared" si="20"/>
        <v>0</v>
      </c>
      <c r="AE40" s="417">
        <f t="shared" si="20"/>
        <v>0</v>
      </c>
      <c r="AF40" s="417">
        <f t="shared" si="20"/>
        <v>0</v>
      </c>
      <c r="AG40" s="417">
        <f t="shared" si="20"/>
        <v>935515.57499020896</v>
      </c>
      <c r="AH40" s="417">
        <f t="shared" si="20"/>
        <v>0</v>
      </c>
      <c r="AI40" s="417">
        <f t="shared" si="20"/>
        <v>0</v>
      </c>
      <c r="AJ40" s="417">
        <f t="shared" si="20"/>
        <v>0</v>
      </c>
      <c r="AK40" s="417">
        <f t="shared" si="20"/>
        <v>0</v>
      </c>
      <c r="AL40" s="417">
        <f t="shared" si="20"/>
        <v>0</v>
      </c>
      <c r="AM40" s="417">
        <f t="shared" si="20"/>
        <v>0</v>
      </c>
      <c r="AN40" s="417">
        <f t="shared" si="20"/>
        <v>0</v>
      </c>
      <c r="AO40" s="417">
        <f t="shared" si="20"/>
        <v>0</v>
      </c>
      <c r="AP40" s="417">
        <f t="shared" si="20"/>
        <v>0</v>
      </c>
      <c r="AQ40" s="417">
        <f t="shared" si="20"/>
        <v>0</v>
      </c>
      <c r="AR40" s="417">
        <f t="shared" si="20"/>
        <v>0</v>
      </c>
    </row>
    <row r="41" spans="1:44" x14ac:dyDescent="0.2">
      <c r="A41" s="380"/>
      <c r="B41" s="380" t="str">
        <f>Inputs!$C$31</f>
        <v>3.1% Discount Factor</v>
      </c>
      <c r="C41" s="52" t="s">
        <v>86</v>
      </c>
      <c r="D41" s="440">
        <f>SUM(F41:AR41)</f>
        <v>2475186.089033524</v>
      </c>
      <c r="E41" s="417"/>
      <c r="F41" s="417">
        <f t="shared" ref="F41:AR41" si="21">F$36*F17</f>
        <v>0</v>
      </c>
      <c r="G41" s="417">
        <f t="shared" si="21"/>
        <v>0</v>
      </c>
      <c r="H41" s="417">
        <f t="shared" si="21"/>
        <v>0</v>
      </c>
      <c r="I41" s="417">
        <f t="shared" si="21"/>
        <v>0</v>
      </c>
      <c r="J41" s="417">
        <f t="shared" si="21"/>
        <v>0</v>
      </c>
      <c r="K41" s="417">
        <f t="shared" si="21"/>
        <v>0</v>
      </c>
      <c r="L41" s="417">
        <f t="shared" si="21"/>
        <v>0</v>
      </c>
      <c r="M41" s="417">
        <f t="shared" si="21"/>
        <v>0</v>
      </c>
      <c r="N41" s="417">
        <f t="shared" si="21"/>
        <v>0</v>
      </c>
      <c r="O41" s="417">
        <f t="shared" si="21"/>
        <v>0</v>
      </c>
      <c r="P41" s="417">
        <f t="shared" si="21"/>
        <v>0</v>
      </c>
      <c r="Q41" s="417">
        <f t="shared" si="21"/>
        <v>0</v>
      </c>
      <c r="R41" s="417">
        <f t="shared" si="21"/>
        <v>1143213.0069408489</v>
      </c>
      <c r="S41" s="417">
        <f t="shared" si="21"/>
        <v>0</v>
      </c>
      <c r="T41" s="417">
        <f t="shared" si="21"/>
        <v>0</v>
      </c>
      <c r="U41" s="417">
        <f t="shared" si="21"/>
        <v>0</v>
      </c>
      <c r="V41" s="417">
        <f t="shared" si="21"/>
        <v>0</v>
      </c>
      <c r="W41" s="417">
        <f t="shared" si="21"/>
        <v>608791.79854811658</v>
      </c>
      <c r="X41" s="417">
        <f t="shared" si="21"/>
        <v>0</v>
      </c>
      <c r="Y41" s="417">
        <f t="shared" si="21"/>
        <v>0</v>
      </c>
      <c r="Z41" s="417">
        <f t="shared" si="21"/>
        <v>0</v>
      </c>
      <c r="AA41" s="417">
        <f t="shared" si="21"/>
        <v>0</v>
      </c>
      <c r="AB41" s="417">
        <f t="shared" si="21"/>
        <v>0</v>
      </c>
      <c r="AC41" s="417">
        <f t="shared" si="21"/>
        <v>0</v>
      </c>
      <c r="AD41" s="417">
        <f t="shared" si="21"/>
        <v>0</v>
      </c>
      <c r="AE41" s="417">
        <f t="shared" si="21"/>
        <v>0</v>
      </c>
      <c r="AF41" s="417">
        <f t="shared" si="21"/>
        <v>0</v>
      </c>
      <c r="AG41" s="417">
        <f t="shared" si="21"/>
        <v>723181.28354455868</v>
      </c>
      <c r="AH41" s="417">
        <f t="shared" si="21"/>
        <v>0</v>
      </c>
      <c r="AI41" s="417">
        <f t="shared" si="21"/>
        <v>0</v>
      </c>
      <c r="AJ41" s="417">
        <f t="shared" si="21"/>
        <v>0</v>
      </c>
      <c r="AK41" s="417">
        <f t="shared" si="21"/>
        <v>0</v>
      </c>
      <c r="AL41" s="417">
        <f t="shared" si="21"/>
        <v>0</v>
      </c>
      <c r="AM41" s="417">
        <f t="shared" si="21"/>
        <v>0</v>
      </c>
      <c r="AN41" s="417">
        <f t="shared" si="21"/>
        <v>0</v>
      </c>
      <c r="AO41" s="417">
        <f t="shared" si="21"/>
        <v>0</v>
      </c>
      <c r="AP41" s="417">
        <f t="shared" si="21"/>
        <v>0</v>
      </c>
      <c r="AQ41" s="417">
        <f t="shared" si="21"/>
        <v>0</v>
      </c>
      <c r="AR41" s="417">
        <f t="shared" si="21"/>
        <v>0</v>
      </c>
    </row>
    <row r="42" spans="1:44" x14ac:dyDescent="0.2">
      <c r="A42" s="380"/>
      <c r="B42" s="380"/>
      <c r="C42" s="7"/>
      <c r="D42" s="380"/>
      <c r="E42" s="380"/>
      <c r="F42" s="380"/>
      <c r="G42" s="380"/>
      <c r="H42" s="380"/>
      <c r="I42" s="380"/>
      <c r="J42" s="380"/>
      <c r="K42" s="380"/>
      <c r="L42" s="380"/>
      <c r="M42" s="380"/>
      <c r="N42" s="380"/>
      <c r="O42" s="380"/>
      <c r="P42" s="380"/>
      <c r="Q42" s="380"/>
      <c r="R42" s="380"/>
      <c r="S42" s="380"/>
      <c r="T42" s="380"/>
      <c r="U42" s="380"/>
      <c r="V42" s="380"/>
      <c r="W42" s="380"/>
      <c r="X42" s="380"/>
      <c r="Y42" s="380"/>
      <c r="Z42" s="380"/>
      <c r="AA42" s="380"/>
      <c r="AB42" s="380"/>
      <c r="AC42" s="380"/>
      <c r="AD42" s="380"/>
      <c r="AE42" s="380"/>
      <c r="AF42" s="380"/>
      <c r="AG42" s="380"/>
      <c r="AH42" s="380"/>
      <c r="AI42" s="380"/>
      <c r="AJ42" s="380"/>
      <c r="AK42" s="380"/>
      <c r="AL42" s="380"/>
      <c r="AM42" s="380"/>
      <c r="AN42" s="380"/>
      <c r="AO42" s="380"/>
      <c r="AP42" s="380"/>
      <c r="AQ42" s="380"/>
      <c r="AR42" s="380"/>
    </row>
    <row r="43" spans="1:44" s="198" customFormat="1" x14ac:dyDescent="0.2">
      <c r="A43" s="199" t="s">
        <v>255</v>
      </c>
    </row>
    <row r="44" spans="1:44" ht="15" x14ac:dyDescent="0.25">
      <c r="A44" s="2" t="s">
        <v>245</v>
      </c>
      <c r="B44" s="380"/>
      <c r="C44" s="380"/>
      <c r="D44" s="380"/>
      <c r="E44" s="380"/>
      <c r="F44" s="380"/>
      <c r="G44" s="380"/>
      <c r="H44" s="380"/>
      <c r="I44" s="380"/>
      <c r="J44" s="380"/>
      <c r="K44" s="380"/>
      <c r="L44" s="380"/>
      <c r="M44" s="380"/>
      <c r="N44" s="380"/>
      <c r="O44" s="380"/>
      <c r="P44" s="380"/>
      <c r="Q44" s="380"/>
      <c r="R44" s="380"/>
      <c r="S44" s="380"/>
      <c r="T44" s="380"/>
      <c r="U44" s="380"/>
      <c r="V44" s="380"/>
      <c r="W44" s="380"/>
      <c r="X44" s="380"/>
      <c r="Y44" s="380"/>
      <c r="Z44" s="380"/>
      <c r="AA44" s="380"/>
      <c r="AB44" s="380"/>
      <c r="AC44" s="380"/>
      <c r="AD44" s="380"/>
      <c r="AE44" s="380"/>
      <c r="AF44" s="380"/>
      <c r="AG44" s="380"/>
      <c r="AH44" s="380"/>
      <c r="AI44" s="380"/>
      <c r="AJ44" s="380"/>
      <c r="AK44" s="380"/>
      <c r="AL44" s="380"/>
      <c r="AM44" s="380"/>
      <c r="AN44" s="380"/>
      <c r="AO44" s="380"/>
      <c r="AP44" s="380"/>
      <c r="AQ44" s="380"/>
      <c r="AR44" s="380"/>
    </row>
    <row r="45" spans="1:44" x14ac:dyDescent="0.2">
      <c r="A45" s="380"/>
      <c r="B45" s="380" t="s">
        <v>24</v>
      </c>
      <c r="C45" s="52" t="s">
        <v>86</v>
      </c>
      <c r="D45" s="440">
        <f t="shared" ref="D45:D49" si="22">SUM(F45:AR45)</f>
        <v>24788928.509245306</v>
      </c>
      <c r="E45" s="380"/>
      <c r="F45" s="417">
        <f>IFERROR(VLOOKUP(F$7,'REF Project Costs'!$A$4:$I$16,4,FALSE),0)</f>
        <v>0</v>
      </c>
      <c r="G45" s="417">
        <f>IFERROR(VLOOKUP(G$7,'REF Project Costs'!$A$4:$I$16,4,FALSE),0)</f>
        <v>0</v>
      </c>
      <c r="H45" s="417">
        <f>IFERROR(VLOOKUP(H$7,'REF Project Costs'!$A$4:$I$16,4,FALSE),0)</f>
        <v>0</v>
      </c>
      <c r="I45" s="417">
        <f>IFERROR(VLOOKUP(I$7,'REF Project Costs'!$A$4:$I$16,4,FALSE),0)</f>
        <v>0</v>
      </c>
      <c r="J45" s="417">
        <f>IFERROR(VLOOKUP(J$7,'REF Project Costs'!$A$4:$I$16,4,FALSE),0)</f>
        <v>0</v>
      </c>
      <c r="K45" s="417">
        <f>IFERROR(VLOOKUP(K$7,'REF Project Costs'!$A$4:$I$16,4,FALSE),0)</f>
        <v>0</v>
      </c>
      <c r="L45" s="417">
        <f>IFERROR(VLOOKUP(L$7,'REF Project Costs'!$A$4:$I$16,4,FALSE),0)</f>
        <v>0</v>
      </c>
      <c r="M45" s="417">
        <f>IFERROR(VLOOKUP(M$7,'REF Project Costs'!$A$4:$I$16,4,FALSE),0)</f>
        <v>12394464.254622653</v>
      </c>
      <c r="N45" s="417">
        <f>IFERROR(VLOOKUP(N$7,'REF Project Costs'!$A$4:$I$16,4,FALSE),0)</f>
        <v>12394464.254622653</v>
      </c>
      <c r="O45" s="417">
        <f>IFERROR(VLOOKUP(O$7,'REF Project Costs'!$A$4:$I$16,4,FALSE),0)</f>
        <v>0</v>
      </c>
      <c r="P45" s="417">
        <f>IFERROR(VLOOKUP(P$7,'REF Project Costs'!$A$4:$I$16,4,FALSE),0)</f>
        <v>0</v>
      </c>
      <c r="Q45" s="417">
        <f>IFERROR(VLOOKUP(Q$7,'REF Project Costs'!$A$4:$I$16,4,FALSE),0)</f>
        <v>0</v>
      </c>
      <c r="R45" s="417">
        <f>IFERROR(VLOOKUP(R$7,'REF Project Costs'!$A$4:$I$16,4,FALSE),0)</f>
        <v>0</v>
      </c>
      <c r="S45" s="417">
        <f>IFERROR(VLOOKUP(S$7,'REF Project Costs'!$A$4:$I$16,4,FALSE),0)</f>
        <v>0</v>
      </c>
      <c r="T45" s="417">
        <f>IFERROR(VLOOKUP(T$7,'REF Project Costs'!$A$4:$I$16,4,FALSE),0)</f>
        <v>0</v>
      </c>
      <c r="U45" s="417">
        <f>IFERROR(VLOOKUP(U$7,'REF Project Costs'!$A$4:$I$16,4,FALSE),0)</f>
        <v>0</v>
      </c>
      <c r="V45" s="417">
        <f>IFERROR(VLOOKUP(V$7,'REF Project Costs'!$A$4:$I$16,4,FALSE),0)</f>
        <v>0</v>
      </c>
      <c r="W45" s="417">
        <f>IFERROR(VLOOKUP(W$7,'REF Project Costs'!$A$4:$I$16,4,FALSE),0)</f>
        <v>0</v>
      </c>
      <c r="X45" s="417">
        <f>IFERROR(VLOOKUP(X$7,'REF Project Costs'!$A$4:$I$16,4,FALSE),0)</f>
        <v>0</v>
      </c>
      <c r="Y45" s="417">
        <f>IFERROR(VLOOKUP(Y$7,'REF Project Costs'!$A$4:$I$16,4,FALSE),0)</f>
        <v>0</v>
      </c>
      <c r="Z45" s="417">
        <f>IFERROR(VLOOKUP(Z$7,'REF Project Costs'!$A$4:$I$16,4,FALSE),0)</f>
        <v>0</v>
      </c>
      <c r="AA45" s="417">
        <f>IFERROR(VLOOKUP(AA$7,'REF Project Costs'!$A$4:$I$16,4,FALSE),0)</f>
        <v>0</v>
      </c>
      <c r="AB45" s="417">
        <f>IFERROR(VLOOKUP(AB$7,'REF Project Costs'!$A$4:$I$16,4,FALSE),0)</f>
        <v>0</v>
      </c>
      <c r="AC45" s="417">
        <f>IFERROR(VLOOKUP(AC$7,'REF Project Costs'!$A$4:$I$16,4,FALSE),0)</f>
        <v>0</v>
      </c>
      <c r="AD45" s="417">
        <f>IFERROR(VLOOKUP(AD$7,'REF Project Costs'!$A$4:$I$16,4,FALSE),0)</f>
        <v>0</v>
      </c>
      <c r="AE45" s="417">
        <f>IFERROR(VLOOKUP(AE$7,'REF Project Costs'!$A$4:$I$16,4,FALSE),0)</f>
        <v>0</v>
      </c>
      <c r="AF45" s="417">
        <f>IFERROR(VLOOKUP(AF$7,'REF Project Costs'!$A$4:$I$16,4,FALSE),0)</f>
        <v>0</v>
      </c>
      <c r="AG45" s="417">
        <f>IFERROR(VLOOKUP(AG$7,'REF Project Costs'!$A$4:$I$16,4,FALSE),0)</f>
        <v>0</v>
      </c>
      <c r="AH45" s="417">
        <f>IFERROR(VLOOKUP(AH$7,'REF Project Costs'!$A$4:$I$16,4,FALSE),0)</f>
        <v>0</v>
      </c>
      <c r="AI45" s="417">
        <f>IFERROR(VLOOKUP(AI$7,'REF Project Costs'!$A$4:$I$16,4,FALSE),0)</f>
        <v>0</v>
      </c>
      <c r="AJ45" s="417">
        <f>IFERROR(VLOOKUP(AJ$7,'REF Project Costs'!$A$4:$I$16,4,FALSE),0)</f>
        <v>0</v>
      </c>
      <c r="AK45" s="417">
        <f>IFERROR(VLOOKUP(AK$7,'REF Project Costs'!$A$4:$I$16,4,FALSE),0)</f>
        <v>0</v>
      </c>
      <c r="AL45" s="417">
        <f>IFERROR(VLOOKUP(AL$7,'REF Project Costs'!$A$4:$I$16,4,FALSE),0)</f>
        <v>0</v>
      </c>
      <c r="AM45" s="417">
        <f>IFERROR(VLOOKUP(AM$7,'REF Project Costs'!$A$4:$I$16,4,FALSE),0)</f>
        <v>0</v>
      </c>
      <c r="AN45" s="417">
        <f>IFERROR(VLOOKUP(AN$7,'REF Project Costs'!$A$4:$I$16,4,FALSE),0)</f>
        <v>0</v>
      </c>
      <c r="AO45" s="417">
        <f>IFERROR(VLOOKUP(AO$7,'REF Project Costs'!$A$4:$I$16,4,FALSE),0)</f>
        <v>0</v>
      </c>
      <c r="AP45" s="417">
        <f>IFERROR(VLOOKUP(AP$7,'REF Project Costs'!$A$4:$I$16,4,FALSE),0)</f>
        <v>0</v>
      </c>
      <c r="AQ45" s="417">
        <f>IFERROR(VLOOKUP(AQ$7,'REF Project Costs'!$A$4:$I$16,4,FALSE),0)</f>
        <v>0</v>
      </c>
      <c r="AR45" s="417">
        <f>IFERROR(VLOOKUP(AR$7,'REF Project Costs'!$A$4:$I$16,4,FALSE),0)</f>
        <v>0</v>
      </c>
    </row>
    <row r="46" spans="1:44" x14ac:dyDescent="0.2">
      <c r="A46" s="380"/>
      <c r="B46" s="380" t="s">
        <v>249</v>
      </c>
      <c r="C46" s="52" t="s">
        <v>86</v>
      </c>
      <c r="D46" s="440">
        <f t="shared" si="22"/>
        <v>240113.61698168094</v>
      </c>
      <c r="E46" s="380"/>
      <c r="F46" s="417">
        <f>IFERROR(VLOOKUP(F$7,'REF Project Costs'!$A$4:$I$16,6,FALSE),0)</f>
        <v>0</v>
      </c>
      <c r="G46" s="417">
        <f>IFERROR(VLOOKUP(G$7,'REF Project Costs'!$A$4:$I$16,6,FALSE),0)</f>
        <v>0</v>
      </c>
      <c r="H46" s="417">
        <f>IFERROR(VLOOKUP(H$7,'REF Project Costs'!$A$4:$I$16,6,FALSE),0)</f>
        <v>0</v>
      </c>
      <c r="I46" s="417">
        <f>IFERROR(VLOOKUP(I$7,'REF Project Costs'!$A$4:$I$16,6,FALSE),0)</f>
        <v>0</v>
      </c>
      <c r="J46" s="417">
        <f>IFERROR(VLOOKUP(J$7,'REF Project Costs'!$A$4:$I$16,6,FALSE),0)</f>
        <v>0</v>
      </c>
      <c r="K46" s="417">
        <f>IFERROR(VLOOKUP(K$7,'REF Project Costs'!$A$4:$I$16,6,FALSE),0)</f>
        <v>0</v>
      </c>
      <c r="L46" s="417">
        <f>IFERROR(VLOOKUP(L$7,'REF Project Costs'!$A$4:$I$16,6,FALSE),0)</f>
        <v>240113.61698168094</v>
      </c>
      <c r="M46" s="417">
        <f>IFERROR(VLOOKUP(M$7,'REF Project Costs'!$A$4:$I$16,6,FALSE),0)</f>
        <v>0</v>
      </c>
      <c r="N46" s="417">
        <f>IFERROR(VLOOKUP(N$7,'REF Project Costs'!$A$4:$I$16,6,FALSE),0)</f>
        <v>0</v>
      </c>
      <c r="O46" s="417">
        <f>IFERROR(VLOOKUP(O$7,'REF Project Costs'!$A$4:$I$16,6,FALSE),0)</f>
        <v>0</v>
      </c>
      <c r="P46" s="417">
        <f>IFERROR(VLOOKUP(P$7,'REF Project Costs'!$A$4:$I$16,6,FALSE),0)</f>
        <v>0</v>
      </c>
      <c r="Q46" s="417">
        <f>IFERROR(VLOOKUP(Q$7,'REF Project Costs'!$A$4:$I$16,6,FALSE),0)</f>
        <v>0</v>
      </c>
      <c r="R46" s="417">
        <f>IFERROR(VLOOKUP(R$7,'REF Project Costs'!$A$4:$I$16,6,FALSE),0)</f>
        <v>0</v>
      </c>
      <c r="S46" s="417">
        <f>IFERROR(VLOOKUP(S$7,'REF Project Costs'!$A$4:$I$16,6,FALSE),0)</f>
        <v>0</v>
      </c>
      <c r="T46" s="417">
        <f>IFERROR(VLOOKUP(T$7,'REF Project Costs'!$A$4:$I$16,6,FALSE),0)</f>
        <v>0</v>
      </c>
      <c r="U46" s="417">
        <f>IFERROR(VLOOKUP(U$7,'REF Project Costs'!$A$4:$I$16,6,FALSE),0)</f>
        <v>0</v>
      </c>
      <c r="V46" s="417">
        <f>IFERROR(VLOOKUP(V$7,'REF Project Costs'!$A$4:$I$16,6,FALSE),0)</f>
        <v>0</v>
      </c>
      <c r="W46" s="417">
        <f>IFERROR(VLOOKUP(W$7,'REF Project Costs'!$A$4:$I$16,6,FALSE),0)</f>
        <v>0</v>
      </c>
      <c r="X46" s="417">
        <f>IFERROR(VLOOKUP(X$7,'REF Project Costs'!$A$4:$I$16,6,FALSE),0)</f>
        <v>0</v>
      </c>
      <c r="Y46" s="417">
        <f>IFERROR(VLOOKUP(Y$7,'REF Project Costs'!$A$4:$I$16,6,FALSE),0)</f>
        <v>0</v>
      </c>
      <c r="Z46" s="417">
        <f>IFERROR(VLOOKUP(Z$7,'REF Project Costs'!$A$4:$I$16,6,FALSE),0)</f>
        <v>0</v>
      </c>
      <c r="AA46" s="417">
        <f>IFERROR(VLOOKUP(AA$7,'REF Project Costs'!$A$4:$I$16,6,FALSE),0)</f>
        <v>0</v>
      </c>
      <c r="AB46" s="417">
        <f>IFERROR(VLOOKUP(AB$7,'REF Project Costs'!$A$4:$I$16,6,FALSE),0)</f>
        <v>0</v>
      </c>
      <c r="AC46" s="417">
        <f>IFERROR(VLOOKUP(AC$7,'REF Project Costs'!$A$4:$I$16,6,FALSE),0)</f>
        <v>0</v>
      </c>
      <c r="AD46" s="417">
        <f>IFERROR(VLOOKUP(AD$7,'REF Project Costs'!$A$4:$I$16,6,FALSE),0)</f>
        <v>0</v>
      </c>
      <c r="AE46" s="417">
        <f>IFERROR(VLOOKUP(AE$7,'REF Project Costs'!$A$4:$I$16,6,FALSE),0)</f>
        <v>0</v>
      </c>
      <c r="AF46" s="417">
        <f>IFERROR(VLOOKUP(AF$7,'REF Project Costs'!$A$4:$I$16,6,FALSE),0)</f>
        <v>0</v>
      </c>
      <c r="AG46" s="417">
        <f>IFERROR(VLOOKUP(AG$7,'REF Project Costs'!$A$4:$I$16,6,FALSE),0)</f>
        <v>0</v>
      </c>
      <c r="AH46" s="417">
        <f>IFERROR(VLOOKUP(AH$7,'REF Project Costs'!$A$4:$I$16,6,FALSE),0)</f>
        <v>0</v>
      </c>
      <c r="AI46" s="417">
        <f>IFERROR(VLOOKUP(AI$7,'REF Project Costs'!$A$4:$I$16,6,FALSE),0)</f>
        <v>0</v>
      </c>
      <c r="AJ46" s="417">
        <f>IFERROR(VLOOKUP(AJ$7,'REF Project Costs'!$A$4:$I$16,6,FALSE),0)</f>
        <v>0</v>
      </c>
      <c r="AK46" s="417">
        <f>IFERROR(VLOOKUP(AK$7,'REF Project Costs'!$A$4:$I$16,6,FALSE),0)</f>
        <v>0</v>
      </c>
      <c r="AL46" s="417">
        <f>IFERROR(VLOOKUP(AL$7,'REF Project Costs'!$A$4:$I$16,6,FALSE),0)</f>
        <v>0</v>
      </c>
      <c r="AM46" s="417">
        <f>IFERROR(VLOOKUP(AM$7,'REF Project Costs'!$A$4:$I$16,6,FALSE),0)</f>
        <v>0</v>
      </c>
      <c r="AN46" s="417">
        <f>IFERROR(VLOOKUP(AN$7,'REF Project Costs'!$A$4:$I$16,6,FALSE),0)</f>
        <v>0</v>
      </c>
      <c r="AO46" s="417">
        <f>IFERROR(VLOOKUP(AO$7,'REF Project Costs'!$A$4:$I$16,6,FALSE),0)</f>
        <v>0</v>
      </c>
      <c r="AP46" s="417">
        <f>IFERROR(VLOOKUP(AP$7,'REF Project Costs'!$A$4:$I$16,6,FALSE),0)</f>
        <v>0</v>
      </c>
      <c r="AQ46" s="417">
        <f>IFERROR(VLOOKUP(AQ$7,'REF Project Costs'!$A$4:$I$16,6,FALSE),0)</f>
        <v>0</v>
      </c>
      <c r="AR46" s="417">
        <f>IFERROR(VLOOKUP(AR$7,'REF Project Costs'!$A$4:$I$16,6,FALSE),0)</f>
        <v>0</v>
      </c>
    </row>
    <row r="47" spans="1:44" x14ac:dyDescent="0.2">
      <c r="A47" s="380"/>
      <c r="B47" s="380" t="s">
        <v>248</v>
      </c>
      <c r="C47" s="52" t="s">
        <v>86</v>
      </c>
      <c r="D47" s="440">
        <f t="shared" si="22"/>
        <v>473760</v>
      </c>
      <c r="E47" s="380"/>
      <c r="F47" s="417">
        <f>IFERROR(VLOOKUP(F$7,'REF Project Costs'!$A$4:$I$16,7,FALSE),0)</f>
        <v>0</v>
      </c>
      <c r="G47" s="417">
        <f>IFERROR(VLOOKUP(G$7,'REF Project Costs'!$A$4:$I$16,7,FALSE),0)</f>
        <v>0</v>
      </c>
      <c r="H47" s="417">
        <f>IFERROR(VLOOKUP(H$7,'REF Project Costs'!$A$4:$I$16,7,FALSE),0)</f>
        <v>0</v>
      </c>
      <c r="I47" s="417">
        <f>IFERROR(VLOOKUP(I$7,'REF Project Costs'!$A$4:$I$16,7,FALSE),0)</f>
        <v>0</v>
      </c>
      <c r="J47" s="417">
        <f>IFERROR(VLOOKUP(J$7,'REF Project Costs'!$A$4:$I$16,7,FALSE),0)</f>
        <v>0</v>
      </c>
      <c r="K47" s="417">
        <f>IFERROR(VLOOKUP(K$7,'REF Project Costs'!$A$4:$I$16,7,FALSE),0)</f>
        <v>0</v>
      </c>
      <c r="L47" s="417">
        <f>IFERROR(VLOOKUP(L$7,'REF Project Costs'!$A$4:$I$16,7,FALSE),0)</f>
        <v>473760</v>
      </c>
      <c r="M47" s="417">
        <f>IFERROR(VLOOKUP(M$7,'REF Project Costs'!$A$4:$I$16,7,FALSE),0)</f>
        <v>0</v>
      </c>
      <c r="N47" s="417">
        <f>IFERROR(VLOOKUP(N$7,'REF Project Costs'!$A$4:$I$16,7,FALSE),0)</f>
        <v>0</v>
      </c>
      <c r="O47" s="417">
        <f>IFERROR(VLOOKUP(O$7,'REF Project Costs'!$A$4:$I$16,7,FALSE),0)</f>
        <v>0</v>
      </c>
      <c r="P47" s="417">
        <f>IFERROR(VLOOKUP(P$7,'REF Project Costs'!$A$4:$I$16,7,FALSE),0)</f>
        <v>0</v>
      </c>
      <c r="Q47" s="417">
        <f>IFERROR(VLOOKUP(Q$7,'REF Project Costs'!$A$4:$I$16,7,FALSE),0)</f>
        <v>0</v>
      </c>
      <c r="R47" s="417">
        <f>IFERROR(VLOOKUP(R$7,'REF Project Costs'!$A$4:$I$16,7,FALSE),0)</f>
        <v>0</v>
      </c>
      <c r="S47" s="417">
        <f>IFERROR(VLOOKUP(S$7,'REF Project Costs'!$A$4:$I$16,7,FALSE),0)</f>
        <v>0</v>
      </c>
      <c r="T47" s="417">
        <f>IFERROR(VLOOKUP(T$7,'REF Project Costs'!$A$4:$I$16,7,FALSE),0)</f>
        <v>0</v>
      </c>
      <c r="U47" s="417">
        <f>IFERROR(VLOOKUP(U$7,'REF Project Costs'!$A$4:$I$16,7,FALSE),0)</f>
        <v>0</v>
      </c>
      <c r="V47" s="417">
        <f>IFERROR(VLOOKUP(V$7,'REF Project Costs'!$A$4:$I$16,7,FALSE),0)</f>
        <v>0</v>
      </c>
      <c r="W47" s="417">
        <f>IFERROR(VLOOKUP(W$7,'REF Project Costs'!$A$4:$I$16,7,FALSE),0)</f>
        <v>0</v>
      </c>
      <c r="X47" s="417">
        <f>IFERROR(VLOOKUP(X$7,'REF Project Costs'!$A$4:$I$16,7,FALSE),0)</f>
        <v>0</v>
      </c>
      <c r="Y47" s="417">
        <f>IFERROR(VLOOKUP(Y$7,'REF Project Costs'!$A$4:$I$16,7,FALSE),0)</f>
        <v>0</v>
      </c>
      <c r="Z47" s="417">
        <f>IFERROR(VLOOKUP(Z$7,'REF Project Costs'!$A$4:$I$16,7,FALSE),0)</f>
        <v>0</v>
      </c>
      <c r="AA47" s="417">
        <f>IFERROR(VLOOKUP(AA$7,'REF Project Costs'!$A$4:$I$16,7,FALSE),0)</f>
        <v>0</v>
      </c>
      <c r="AB47" s="417">
        <f>IFERROR(VLOOKUP(AB$7,'REF Project Costs'!$A$4:$I$16,7,FALSE),0)</f>
        <v>0</v>
      </c>
      <c r="AC47" s="417">
        <f>IFERROR(VLOOKUP(AC$7,'REF Project Costs'!$A$4:$I$16,7,FALSE),0)</f>
        <v>0</v>
      </c>
      <c r="AD47" s="417">
        <f>IFERROR(VLOOKUP(AD$7,'REF Project Costs'!$A$4:$I$16,7,FALSE),0)</f>
        <v>0</v>
      </c>
      <c r="AE47" s="417">
        <f>IFERROR(VLOOKUP(AE$7,'REF Project Costs'!$A$4:$I$16,7,FALSE),0)</f>
        <v>0</v>
      </c>
      <c r="AF47" s="417">
        <f>IFERROR(VLOOKUP(AF$7,'REF Project Costs'!$A$4:$I$16,7,FALSE),0)</f>
        <v>0</v>
      </c>
      <c r="AG47" s="417">
        <f>IFERROR(VLOOKUP(AG$7,'REF Project Costs'!$A$4:$I$16,7,FALSE),0)</f>
        <v>0</v>
      </c>
      <c r="AH47" s="417">
        <f>IFERROR(VLOOKUP(AH$7,'REF Project Costs'!$A$4:$I$16,7,FALSE),0)</f>
        <v>0</v>
      </c>
      <c r="AI47" s="417">
        <f>IFERROR(VLOOKUP(AI$7,'REF Project Costs'!$A$4:$I$16,7,FALSE),0)</f>
        <v>0</v>
      </c>
      <c r="AJ47" s="417">
        <f>IFERROR(VLOOKUP(AJ$7,'REF Project Costs'!$A$4:$I$16,7,FALSE),0)</f>
        <v>0</v>
      </c>
      <c r="AK47" s="417">
        <f>IFERROR(VLOOKUP(AK$7,'REF Project Costs'!$A$4:$I$16,7,FALSE),0)</f>
        <v>0</v>
      </c>
      <c r="AL47" s="417">
        <f>IFERROR(VLOOKUP(AL$7,'REF Project Costs'!$A$4:$I$16,7,FALSE),0)</f>
        <v>0</v>
      </c>
      <c r="AM47" s="417">
        <f>IFERROR(VLOOKUP(AM$7,'REF Project Costs'!$A$4:$I$16,7,FALSE),0)</f>
        <v>0</v>
      </c>
      <c r="AN47" s="417">
        <f>IFERROR(VLOOKUP(AN$7,'REF Project Costs'!$A$4:$I$16,7,FALSE),0)</f>
        <v>0</v>
      </c>
      <c r="AO47" s="417">
        <f>IFERROR(VLOOKUP(AO$7,'REF Project Costs'!$A$4:$I$16,7,FALSE),0)</f>
        <v>0</v>
      </c>
      <c r="AP47" s="417">
        <f>IFERROR(VLOOKUP(AP$7,'REF Project Costs'!$A$4:$I$16,7,FALSE),0)</f>
        <v>0</v>
      </c>
      <c r="AQ47" s="417">
        <f>IFERROR(VLOOKUP(AQ$7,'REF Project Costs'!$A$4:$I$16,7,FALSE),0)</f>
        <v>0</v>
      </c>
      <c r="AR47" s="417">
        <f>IFERROR(VLOOKUP(AR$7,'REF Project Costs'!$A$4:$I$16,7,FALSE),0)</f>
        <v>0</v>
      </c>
    </row>
    <row r="48" spans="1:44" x14ac:dyDescent="0.2">
      <c r="A48" s="380"/>
      <c r="B48" s="418" t="s">
        <v>247</v>
      </c>
      <c r="C48" s="59" t="s">
        <v>86</v>
      </c>
      <c r="D48" s="447">
        <f t="shared" si="22"/>
        <v>1832708.372337172</v>
      </c>
      <c r="E48" s="418"/>
      <c r="F48" s="448">
        <f>IFERROR(VLOOKUP(F$7,'REF Project Costs'!$A$4:$I$16,8,FALSE),0)</f>
        <v>0</v>
      </c>
      <c r="G48" s="448">
        <f>IFERROR(VLOOKUP(G$7,'REF Project Costs'!$A$4:$I$16,8,FALSE),0)</f>
        <v>0</v>
      </c>
      <c r="H48" s="448">
        <f>IFERROR(VLOOKUP(H$7,'REF Project Costs'!$A$4:$I$16,8,FALSE),0)</f>
        <v>0</v>
      </c>
      <c r="I48" s="448">
        <f>IFERROR(VLOOKUP(I$7,'REF Project Costs'!$A$4:$I$16,8,FALSE),0)</f>
        <v>0</v>
      </c>
      <c r="J48" s="448">
        <f>IFERROR(VLOOKUP(J$7,'REF Project Costs'!$A$4:$I$16,8,FALSE),0)</f>
        <v>0</v>
      </c>
      <c r="K48" s="448">
        <f>IFERROR(VLOOKUP(K$7,'REF Project Costs'!$A$4:$I$16,8,FALSE),0)</f>
        <v>0</v>
      </c>
      <c r="L48" s="448">
        <f>IFERROR(VLOOKUP(L$7,'REF Project Costs'!$A$4:$I$16,8,FALSE),0)</f>
        <v>1832708.372337172</v>
      </c>
      <c r="M48" s="448">
        <f>IFERROR(VLOOKUP(M$7,'REF Project Costs'!$A$4:$I$16,8,FALSE),0)</f>
        <v>0</v>
      </c>
      <c r="N48" s="448">
        <f>IFERROR(VLOOKUP(N$7,'REF Project Costs'!$A$4:$I$16,8,FALSE),0)</f>
        <v>0</v>
      </c>
      <c r="O48" s="448">
        <f>IFERROR(VLOOKUP(O$7,'REF Project Costs'!$A$4:$I$16,8,FALSE),0)</f>
        <v>0</v>
      </c>
      <c r="P48" s="448">
        <f>IFERROR(VLOOKUP(P$7,'REF Project Costs'!$A$4:$I$16,8,FALSE),0)</f>
        <v>0</v>
      </c>
      <c r="Q48" s="448">
        <f>IFERROR(VLOOKUP(Q$7,'REF Project Costs'!$A$4:$I$16,8,FALSE),0)</f>
        <v>0</v>
      </c>
      <c r="R48" s="448">
        <f>IFERROR(VLOOKUP(R$7,'REF Project Costs'!$A$4:$I$16,8,FALSE),0)</f>
        <v>0</v>
      </c>
      <c r="S48" s="448">
        <f>IFERROR(VLOOKUP(S$7,'REF Project Costs'!$A$4:$I$16,8,FALSE),0)</f>
        <v>0</v>
      </c>
      <c r="T48" s="448">
        <f>IFERROR(VLOOKUP(T$7,'REF Project Costs'!$A$4:$I$16,8,FALSE),0)</f>
        <v>0</v>
      </c>
      <c r="U48" s="448">
        <f>IFERROR(VLOOKUP(U$7,'REF Project Costs'!$A$4:$I$16,8,FALSE),0)</f>
        <v>0</v>
      </c>
      <c r="V48" s="448">
        <f>IFERROR(VLOOKUP(V$7,'REF Project Costs'!$A$4:$I$16,8,FALSE),0)</f>
        <v>0</v>
      </c>
      <c r="W48" s="448">
        <f>IFERROR(VLOOKUP(W$7,'REF Project Costs'!$A$4:$I$16,8,FALSE),0)</f>
        <v>0</v>
      </c>
      <c r="X48" s="448">
        <f>IFERROR(VLOOKUP(X$7,'REF Project Costs'!$A$4:$I$16,8,FALSE),0)</f>
        <v>0</v>
      </c>
      <c r="Y48" s="448">
        <f>IFERROR(VLOOKUP(Y$7,'REF Project Costs'!$A$4:$I$16,8,FALSE),0)</f>
        <v>0</v>
      </c>
      <c r="Z48" s="448">
        <f>IFERROR(VLOOKUP(Z$7,'REF Project Costs'!$A$4:$I$16,8,FALSE),0)</f>
        <v>0</v>
      </c>
      <c r="AA48" s="448">
        <f>IFERROR(VLOOKUP(AA$7,'REF Project Costs'!$A$4:$I$16,8,FALSE),0)</f>
        <v>0</v>
      </c>
      <c r="AB48" s="448">
        <f>IFERROR(VLOOKUP(AB$7,'REF Project Costs'!$A$4:$I$16,8,FALSE),0)</f>
        <v>0</v>
      </c>
      <c r="AC48" s="448">
        <f>IFERROR(VLOOKUP(AC$7,'REF Project Costs'!$A$4:$I$16,8,FALSE),0)</f>
        <v>0</v>
      </c>
      <c r="AD48" s="448">
        <f>IFERROR(VLOOKUP(AD$7,'REF Project Costs'!$A$4:$I$16,8,FALSE),0)</f>
        <v>0</v>
      </c>
      <c r="AE48" s="448">
        <f>IFERROR(VLOOKUP(AE$7,'REF Project Costs'!$A$4:$I$16,8,FALSE),0)</f>
        <v>0</v>
      </c>
      <c r="AF48" s="448">
        <f>IFERROR(VLOOKUP(AF$7,'REF Project Costs'!$A$4:$I$16,8,FALSE),0)</f>
        <v>0</v>
      </c>
      <c r="AG48" s="448">
        <f>IFERROR(VLOOKUP(AG$7,'REF Project Costs'!$A$4:$I$16,8,FALSE),0)</f>
        <v>0</v>
      </c>
      <c r="AH48" s="448">
        <f>IFERROR(VLOOKUP(AH$7,'REF Project Costs'!$A$4:$I$16,8,FALSE),0)</f>
        <v>0</v>
      </c>
      <c r="AI48" s="448">
        <f>IFERROR(VLOOKUP(AI$7,'REF Project Costs'!$A$4:$I$16,8,FALSE),0)</f>
        <v>0</v>
      </c>
      <c r="AJ48" s="448">
        <f>IFERROR(VLOOKUP(AJ$7,'REF Project Costs'!$A$4:$I$16,8,FALSE),0)</f>
        <v>0</v>
      </c>
      <c r="AK48" s="448">
        <f>IFERROR(VLOOKUP(AK$7,'REF Project Costs'!$A$4:$I$16,8,FALSE),0)</f>
        <v>0</v>
      </c>
      <c r="AL48" s="448">
        <f>IFERROR(VLOOKUP(AL$7,'REF Project Costs'!$A$4:$I$16,8,FALSE),0)</f>
        <v>0</v>
      </c>
      <c r="AM48" s="448">
        <f>IFERROR(VLOOKUP(AM$7,'REF Project Costs'!$A$4:$I$16,8,FALSE),0)</f>
        <v>0</v>
      </c>
      <c r="AN48" s="448">
        <f>IFERROR(VLOOKUP(AN$7,'REF Project Costs'!$A$4:$I$16,8,FALSE),0)</f>
        <v>0</v>
      </c>
      <c r="AO48" s="448">
        <f>IFERROR(VLOOKUP(AO$7,'REF Project Costs'!$A$4:$I$16,8,FALSE),0)</f>
        <v>0</v>
      </c>
      <c r="AP48" s="448">
        <f>IFERROR(VLOOKUP(AP$7,'REF Project Costs'!$A$4:$I$16,8,FALSE),0)</f>
        <v>0</v>
      </c>
      <c r="AQ48" s="448">
        <f>IFERROR(VLOOKUP(AQ$7,'REF Project Costs'!$A$4:$I$16,8,FALSE),0)</f>
        <v>0</v>
      </c>
      <c r="AR48" s="448">
        <f>IFERROR(VLOOKUP(AR$7,'REF Project Costs'!$A$4:$I$16,8,FALSE),0)</f>
        <v>0</v>
      </c>
    </row>
    <row r="49" spans="1:44" x14ac:dyDescent="0.2">
      <c r="A49" s="380"/>
      <c r="B49" s="380" t="s">
        <v>250</v>
      </c>
      <c r="C49" s="52" t="s">
        <v>86</v>
      </c>
      <c r="D49" s="440">
        <f t="shared" si="22"/>
        <v>27335510.498564161</v>
      </c>
      <c r="E49" s="380"/>
      <c r="F49" s="417">
        <f t="shared" ref="F49:AR49" si="23">SUM(F45:F48)</f>
        <v>0</v>
      </c>
      <c r="G49" s="417">
        <f t="shared" si="23"/>
        <v>0</v>
      </c>
      <c r="H49" s="417">
        <f t="shared" si="23"/>
        <v>0</v>
      </c>
      <c r="I49" s="417">
        <f t="shared" si="23"/>
        <v>0</v>
      </c>
      <c r="J49" s="417">
        <f t="shared" si="23"/>
        <v>0</v>
      </c>
      <c r="K49" s="417">
        <f t="shared" si="23"/>
        <v>0</v>
      </c>
      <c r="L49" s="417">
        <f t="shared" si="23"/>
        <v>2546581.9893188532</v>
      </c>
      <c r="M49" s="417">
        <f t="shared" si="23"/>
        <v>12394464.254622653</v>
      </c>
      <c r="N49" s="417">
        <f t="shared" si="23"/>
        <v>12394464.254622653</v>
      </c>
      <c r="O49" s="417">
        <f t="shared" si="23"/>
        <v>0</v>
      </c>
      <c r="P49" s="417">
        <f t="shared" si="23"/>
        <v>0</v>
      </c>
      <c r="Q49" s="417">
        <f t="shared" si="23"/>
        <v>0</v>
      </c>
      <c r="R49" s="417">
        <f t="shared" si="23"/>
        <v>0</v>
      </c>
      <c r="S49" s="417">
        <f t="shared" si="23"/>
        <v>0</v>
      </c>
      <c r="T49" s="417">
        <f t="shared" si="23"/>
        <v>0</v>
      </c>
      <c r="U49" s="417">
        <f t="shared" si="23"/>
        <v>0</v>
      </c>
      <c r="V49" s="417">
        <f t="shared" si="23"/>
        <v>0</v>
      </c>
      <c r="W49" s="417">
        <f t="shared" si="23"/>
        <v>0</v>
      </c>
      <c r="X49" s="417">
        <f t="shared" si="23"/>
        <v>0</v>
      </c>
      <c r="Y49" s="417">
        <f t="shared" si="23"/>
        <v>0</v>
      </c>
      <c r="Z49" s="417">
        <f t="shared" si="23"/>
        <v>0</v>
      </c>
      <c r="AA49" s="417">
        <f t="shared" si="23"/>
        <v>0</v>
      </c>
      <c r="AB49" s="417">
        <f t="shared" si="23"/>
        <v>0</v>
      </c>
      <c r="AC49" s="417">
        <f t="shared" si="23"/>
        <v>0</v>
      </c>
      <c r="AD49" s="417">
        <f t="shared" si="23"/>
        <v>0</v>
      </c>
      <c r="AE49" s="417">
        <f t="shared" si="23"/>
        <v>0</v>
      </c>
      <c r="AF49" s="417">
        <f t="shared" si="23"/>
        <v>0</v>
      </c>
      <c r="AG49" s="417">
        <f t="shared" si="23"/>
        <v>0</v>
      </c>
      <c r="AH49" s="417">
        <f t="shared" si="23"/>
        <v>0</v>
      </c>
      <c r="AI49" s="417">
        <f t="shared" si="23"/>
        <v>0</v>
      </c>
      <c r="AJ49" s="417">
        <f t="shared" si="23"/>
        <v>0</v>
      </c>
      <c r="AK49" s="417">
        <f t="shared" si="23"/>
        <v>0</v>
      </c>
      <c r="AL49" s="417">
        <f t="shared" si="23"/>
        <v>0</v>
      </c>
      <c r="AM49" s="417">
        <f t="shared" si="23"/>
        <v>0</v>
      </c>
      <c r="AN49" s="417">
        <f t="shared" si="23"/>
        <v>0</v>
      </c>
      <c r="AO49" s="417">
        <f t="shared" si="23"/>
        <v>0</v>
      </c>
      <c r="AP49" s="417">
        <f t="shared" si="23"/>
        <v>0</v>
      </c>
      <c r="AQ49" s="417">
        <f t="shared" si="23"/>
        <v>0</v>
      </c>
      <c r="AR49" s="417">
        <f t="shared" si="23"/>
        <v>0</v>
      </c>
    </row>
    <row r="50" spans="1:44" x14ac:dyDescent="0.2">
      <c r="A50" s="380"/>
      <c r="B50" s="380"/>
      <c r="C50" s="52"/>
      <c r="D50" s="440"/>
      <c r="E50" s="380"/>
      <c r="F50" s="417"/>
      <c r="G50" s="417"/>
      <c r="H50" s="417"/>
      <c r="I50" s="417"/>
      <c r="J50" s="417"/>
      <c r="K50" s="417"/>
      <c r="L50" s="417"/>
      <c r="M50" s="417"/>
      <c r="N50" s="417"/>
      <c r="O50" s="417"/>
      <c r="P50" s="417"/>
      <c r="Q50" s="417"/>
      <c r="R50" s="417"/>
      <c r="S50" s="417"/>
      <c r="T50" s="417"/>
      <c r="U50" s="417"/>
      <c r="V50" s="417"/>
      <c r="W50" s="417"/>
      <c r="X50" s="417"/>
      <c r="Y50" s="417"/>
      <c r="Z50" s="417"/>
      <c r="AA50" s="417"/>
      <c r="AB50" s="417"/>
      <c r="AC50" s="417"/>
      <c r="AD50" s="417"/>
      <c r="AE50" s="417"/>
      <c r="AF50" s="417"/>
      <c r="AG50" s="417"/>
      <c r="AH50" s="417"/>
      <c r="AI50" s="417"/>
      <c r="AJ50" s="417"/>
      <c r="AK50" s="417"/>
      <c r="AL50" s="417"/>
      <c r="AM50" s="417"/>
      <c r="AN50" s="417"/>
      <c r="AO50" s="417"/>
      <c r="AP50" s="417"/>
      <c r="AQ50" s="417"/>
      <c r="AR50" s="417"/>
    </row>
    <row r="51" spans="1:44" ht="15" x14ac:dyDescent="0.25">
      <c r="A51" s="380"/>
      <c r="B51" s="2" t="s">
        <v>251</v>
      </c>
      <c r="C51" s="7"/>
      <c r="D51" s="380"/>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80"/>
      <c r="AI51" s="380"/>
      <c r="AJ51" s="380"/>
      <c r="AK51" s="380"/>
      <c r="AL51" s="380"/>
      <c r="AM51" s="380"/>
      <c r="AN51" s="380"/>
      <c r="AO51" s="380"/>
      <c r="AP51" s="380"/>
      <c r="AQ51" s="380"/>
      <c r="AR51" s="380"/>
    </row>
    <row r="52" spans="1:44" x14ac:dyDescent="0.2">
      <c r="A52" s="380"/>
      <c r="B52" s="380" t="s">
        <v>252</v>
      </c>
      <c r="C52" s="52" t="s">
        <v>86</v>
      </c>
      <c r="D52" s="440">
        <f>SUM(F52:AR52)</f>
        <v>27335510.498564161</v>
      </c>
      <c r="E52" s="417"/>
      <c r="F52" s="417">
        <f t="shared" ref="F52:AR52" si="24">F15*F$49</f>
        <v>0</v>
      </c>
      <c r="G52" s="417">
        <f t="shared" si="24"/>
        <v>0</v>
      </c>
      <c r="H52" s="417">
        <f t="shared" si="24"/>
        <v>0</v>
      </c>
      <c r="I52" s="417">
        <f t="shared" si="24"/>
        <v>0</v>
      </c>
      <c r="J52" s="417">
        <f t="shared" si="24"/>
        <v>0</v>
      </c>
      <c r="K52" s="417">
        <f t="shared" si="24"/>
        <v>0</v>
      </c>
      <c r="L52" s="417">
        <f t="shared" si="24"/>
        <v>2546581.9893188532</v>
      </c>
      <c r="M52" s="417">
        <f t="shared" si="24"/>
        <v>12394464.254622653</v>
      </c>
      <c r="N52" s="417">
        <f t="shared" si="24"/>
        <v>12394464.254622653</v>
      </c>
      <c r="O52" s="417">
        <f t="shared" si="24"/>
        <v>0</v>
      </c>
      <c r="P52" s="417">
        <f t="shared" si="24"/>
        <v>0</v>
      </c>
      <c r="Q52" s="417">
        <f t="shared" si="24"/>
        <v>0</v>
      </c>
      <c r="R52" s="417">
        <f t="shared" si="24"/>
        <v>0</v>
      </c>
      <c r="S52" s="417">
        <f t="shared" si="24"/>
        <v>0</v>
      </c>
      <c r="T52" s="417">
        <f t="shared" si="24"/>
        <v>0</v>
      </c>
      <c r="U52" s="417">
        <f t="shared" si="24"/>
        <v>0</v>
      </c>
      <c r="V52" s="417">
        <f t="shared" si="24"/>
        <v>0</v>
      </c>
      <c r="W52" s="417">
        <f t="shared" si="24"/>
        <v>0</v>
      </c>
      <c r="X52" s="417">
        <f t="shared" si="24"/>
        <v>0</v>
      </c>
      <c r="Y52" s="417">
        <f t="shared" si="24"/>
        <v>0</v>
      </c>
      <c r="Z52" s="417">
        <f t="shared" si="24"/>
        <v>0</v>
      </c>
      <c r="AA52" s="417">
        <f t="shared" si="24"/>
        <v>0</v>
      </c>
      <c r="AB52" s="417">
        <f t="shared" si="24"/>
        <v>0</v>
      </c>
      <c r="AC52" s="417">
        <f t="shared" si="24"/>
        <v>0</v>
      </c>
      <c r="AD52" s="417">
        <f t="shared" si="24"/>
        <v>0</v>
      </c>
      <c r="AE52" s="417">
        <f t="shared" si="24"/>
        <v>0</v>
      </c>
      <c r="AF52" s="417">
        <f t="shared" si="24"/>
        <v>0</v>
      </c>
      <c r="AG52" s="417">
        <f t="shared" si="24"/>
        <v>0</v>
      </c>
      <c r="AH52" s="417">
        <f t="shared" si="24"/>
        <v>0</v>
      </c>
      <c r="AI52" s="417">
        <f t="shared" si="24"/>
        <v>0</v>
      </c>
      <c r="AJ52" s="417">
        <f t="shared" si="24"/>
        <v>0</v>
      </c>
      <c r="AK52" s="417">
        <f t="shared" si="24"/>
        <v>0</v>
      </c>
      <c r="AL52" s="417">
        <f t="shared" si="24"/>
        <v>0</v>
      </c>
      <c r="AM52" s="417">
        <f t="shared" si="24"/>
        <v>0</v>
      </c>
      <c r="AN52" s="417">
        <f t="shared" si="24"/>
        <v>0</v>
      </c>
      <c r="AO52" s="417">
        <f t="shared" si="24"/>
        <v>0</v>
      </c>
      <c r="AP52" s="417">
        <f t="shared" si="24"/>
        <v>0</v>
      </c>
      <c r="AQ52" s="417">
        <f t="shared" si="24"/>
        <v>0</v>
      </c>
      <c r="AR52" s="417">
        <f t="shared" si="24"/>
        <v>0</v>
      </c>
    </row>
    <row r="53" spans="1:44" x14ac:dyDescent="0.2">
      <c r="A53" s="380"/>
      <c r="B53" s="380" t="str">
        <f>Inputs!$C$30</f>
        <v>2% Discount Factor</v>
      </c>
      <c r="C53" s="52" t="s">
        <v>86</v>
      </c>
      <c r="D53" s="440">
        <f>SUM(F53:AR53)</f>
        <v>25076318.341719985</v>
      </c>
      <c r="E53" s="417"/>
      <c r="F53" s="417">
        <f t="shared" ref="F53:AR53" si="25">F16*F$49</f>
        <v>0</v>
      </c>
      <c r="G53" s="417">
        <f t="shared" si="25"/>
        <v>0</v>
      </c>
      <c r="H53" s="417">
        <f t="shared" si="25"/>
        <v>0</v>
      </c>
      <c r="I53" s="417">
        <f t="shared" si="25"/>
        <v>0</v>
      </c>
      <c r="J53" s="417">
        <f t="shared" si="25"/>
        <v>0</v>
      </c>
      <c r="K53" s="417">
        <f t="shared" si="25"/>
        <v>0</v>
      </c>
      <c r="L53" s="417">
        <f t="shared" si="25"/>
        <v>2399701.0852903989</v>
      </c>
      <c r="M53" s="417">
        <f t="shared" si="25"/>
        <v>11450569.109682268</v>
      </c>
      <c r="N53" s="417">
        <f t="shared" si="25"/>
        <v>11226048.146747321</v>
      </c>
      <c r="O53" s="417">
        <f t="shared" si="25"/>
        <v>0</v>
      </c>
      <c r="P53" s="417">
        <f t="shared" si="25"/>
        <v>0</v>
      </c>
      <c r="Q53" s="417">
        <f t="shared" si="25"/>
        <v>0</v>
      </c>
      <c r="R53" s="417">
        <f t="shared" si="25"/>
        <v>0</v>
      </c>
      <c r="S53" s="417">
        <f t="shared" si="25"/>
        <v>0</v>
      </c>
      <c r="T53" s="417">
        <f t="shared" si="25"/>
        <v>0</v>
      </c>
      <c r="U53" s="417">
        <f t="shared" si="25"/>
        <v>0</v>
      </c>
      <c r="V53" s="417">
        <f t="shared" si="25"/>
        <v>0</v>
      </c>
      <c r="W53" s="417">
        <f t="shared" si="25"/>
        <v>0</v>
      </c>
      <c r="X53" s="417">
        <f t="shared" si="25"/>
        <v>0</v>
      </c>
      <c r="Y53" s="417">
        <f t="shared" si="25"/>
        <v>0</v>
      </c>
      <c r="Z53" s="417">
        <f t="shared" si="25"/>
        <v>0</v>
      </c>
      <c r="AA53" s="417">
        <f t="shared" si="25"/>
        <v>0</v>
      </c>
      <c r="AB53" s="417">
        <f t="shared" si="25"/>
        <v>0</v>
      </c>
      <c r="AC53" s="417">
        <f t="shared" si="25"/>
        <v>0</v>
      </c>
      <c r="AD53" s="417">
        <f t="shared" si="25"/>
        <v>0</v>
      </c>
      <c r="AE53" s="417">
        <f t="shared" si="25"/>
        <v>0</v>
      </c>
      <c r="AF53" s="417">
        <f t="shared" si="25"/>
        <v>0</v>
      </c>
      <c r="AG53" s="417">
        <f t="shared" si="25"/>
        <v>0</v>
      </c>
      <c r="AH53" s="417">
        <f t="shared" si="25"/>
        <v>0</v>
      </c>
      <c r="AI53" s="417">
        <f t="shared" si="25"/>
        <v>0</v>
      </c>
      <c r="AJ53" s="417">
        <f t="shared" si="25"/>
        <v>0</v>
      </c>
      <c r="AK53" s="417">
        <f t="shared" si="25"/>
        <v>0</v>
      </c>
      <c r="AL53" s="417">
        <f t="shared" si="25"/>
        <v>0</v>
      </c>
      <c r="AM53" s="417">
        <f t="shared" si="25"/>
        <v>0</v>
      </c>
      <c r="AN53" s="417">
        <f t="shared" si="25"/>
        <v>0</v>
      </c>
      <c r="AO53" s="417">
        <f t="shared" si="25"/>
        <v>0</v>
      </c>
      <c r="AP53" s="417">
        <f t="shared" si="25"/>
        <v>0</v>
      </c>
      <c r="AQ53" s="417">
        <f t="shared" si="25"/>
        <v>0</v>
      </c>
      <c r="AR53" s="417">
        <f t="shared" si="25"/>
        <v>0</v>
      </c>
    </row>
    <row r="54" spans="1:44" x14ac:dyDescent="0.2">
      <c r="A54" s="380"/>
      <c r="B54" s="380" t="str">
        <f>Inputs!$C$31</f>
        <v>3.1% Discount Factor</v>
      </c>
      <c r="C54" s="52" t="s">
        <v>86</v>
      </c>
      <c r="D54" s="440">
        <f>SUM(F54:AR54)</f>
        <v>23933190.598628066</v>
      </c>
      <c r="E54" s="417"/>
      <c r="F54" s="417">
        <f t="shared" ref="F54:AR54" si="26">F17*F$49</f>
        <v>0</v>
      </c>
      <c r="G54" s="417">
        <f t="shared" si="26"/>
        <v>0</v>
      </c>
      <c r="H54" s="417">
        <f t="shared" si="26"/>
        <v>0</v>
      </c>
      <c r="I54" s="417">
        <f t="shared" si="26"/>
        <v>0</v>
      </c>
      <c r="J54" s="417">
        <f t="shared" si="26"/>
        <v>0</v>
      </c>
      <c r="K54" s="417">
        <f t="shared" si="26"/>
        <v>0</v>
      </c>
      <c r="L54" s="417">
        <f t="shared" si="26"/>
        <v>2323708.6109699891</v>
      </c>
      <c r="M54" s="417">
        <f t="shared" si="26"/>
        <v>10969658.2615832</v>
      </c>
      <c r="N54" s="417">
        <f t="shared" si="26"/>
        <v>10639823.72607488</v>
      </c>
      <c r="O54" s="417">
        <f t="shared" si="26"/>
        <v>0</v>
      </c>
      <c r="P54" s="417">
        <f t="shared" si="26"/>
        <v>0</v>
      </c>
      <c r="Q54" s="417">
        <f t="shared" si="26"/>
        <v>0</v>
      </c>
      <c r="R54" s="417">
        <f t="shared" si="26"/>
        <v>0</v>
      </c>
      <c r="S54" s="417">
        <f t="shared" si="26"/>
        <v>0</v>
      </c>
      <c r="T54" s="417">
        <f t="shared" si="26"/>
        <v>0</v>
      </c>
      <c r="U54" s="417">
        <f t="shared" si="26"/>
        <v>0</v>
      </c>
      <c r="V54" s="417">
        <f t="shared" si="26"/>
        <v>0</v>
      </c>
      <c r="W54" s="417">
        <f t="shared" si="26"/>
        <v>0</v>
      </c>
      <c r="X54" s="417">
        <f t="shared" si="26"/>
        <v>0</v>
      </c>
      <c r="Y54" s="417">
        <f t="shared" si="26"/>
        <v>0</v>
      </c>
      <c r="Z54" s="417">
        <f t="shared" si="26"/>
        <v>0</v>
      </c>
      <c r="AA54" s="417">
        <f t="shared" si="26"/>
        <v>0</v>
      </c>
      <c r="AB54" s="417">
        <f t="shared" si="26"/>
        <v>0</v>
      </c>
      <c r="AC54" s="417">
        <f t="shared" si="26"/>
        <v>0</v>
      </c>
      <c r="AD54" s="417">
        <f t="shared" si="26"/>
        <v>0</v>
      </c>
      <c r="AE54" s="417">
        <f t="shared" si="26"/>
        <v>0</v>
      </c>
      <c r="AF54" s="417">
        <f t="shared" si="26"/>
        <v>0</v>
      </c>
      <c r="AG54" s="417">
        <f t="shared" si="26"/>
        <v>0</v>
      </c>
      <c r="AH54" s="417">
        <f t="shared" si="26"/>
        <v>0</v>
      </c>
      <c r="AI54" s="417">
        <f t="shared" si="26"/>
        <v>0</v>
      </c>
      <c r="AJ54" s="417">
        <f t="shared" si="26"/>
        <v>0</v>
      </c>
      <c r="AK54" s="417">
        <f t="shared" si="26"/>
        <v>0</v>
      </c>
      <c r="AL54" s="417">
        <f t="shared" si="26"/>
        <v>0</v>
      </c>
      <c r="AM54" s="417">
        <f t="shared" si="26"/>
        <v>0</v>
      </c>
      <c r="AN54" s="417">
        <f t="shared" si="26"/>
        <v>0</v>
      </c>
      <c r="AO54" s="417">
        <f t="shared" si="26"/>
        <v>0</v>
      </c>
      <c r="AP54" s="417">
        <f t="shared" si="26"/>
        <v>0</v>
      </c>
      <c r="AQ54" s="417">
        <f t="shared" si="26"/>
        <v>0</v>
      </c>
      <c r="AR54" s="417">
        <f t="shared" si="26"/>
        <v>0</v>
      </c>
    </row>
    <row r="55" spans="1:44" x14ac:dyDescent="0.2">
      <c r="A55" s="380"/>
      <c r="B55" s="380"/>
      <c r="C55" s="52"/>
      <c r="D55" s="440"/>
      <c r="E55" s="417"/>
      <c r="F55" s="417"/>
      <c r="G55" s="417"/>
      <c r="H55" s="417"/>
      <c r="I55" s="417"/>
      <c r="J55" s="417"/>
      <c r="K55" s="417"/>
      <c r="L55" s="417"/>
      <c r="M55" s="417"/>
      <c r="N55" s="417"/>
      <c r="O55" s="417"/>
      <c r="P55" s="417"/>
      <c r="Q55" s="417"/>
      <c r="R55" s="417"/>
      <c r="S55" s="417"/>
      <c r="T55" s="417"/>
      <c r="U55" s="417"/>
      <c r="V55" s="417"/>
      <c r="W55" s="417"/>
      <c r="X55" s="417"/>
      <c r="Y55" s="417"/>
      <c r="Z55" s="417"/>
      <c r="AA55" s="417"/>
      <c r="AB55" s="417"/>
      <c r="AC55" s="417"/>
      <c r="AD55" s="417"/>
      <c r="AE55" s="417"/>
      <c r="AF55" s="417"/>
      <c r="AG55" s="417"/>
      <c r="AH55" s="417"/>
      <c r="AI55" s="417"/>
      <c r="AJ55" s="417"/>
      <c r="AK55" s="417"/>
      <c r="AL55" s="417"/>
      <c r="AM55" s="417"/>
      <c r="AN55" s="417"/>
      <c r="AO55" s="417"/>
      <c r="AP55" s="417"/>
      <c r="AQ55" s="417"/>
      <c r="AR55" s="417"/>
    </row>
    <row r="56" spans="1:44" s="2" customFormat="1" ht="15" x14ac:dyDescent="0.25">
      <c r="A56" s="2" t="s">
        <v>253</v>
      </c>
      <c r="C56" s="61"/>
      <c r="D56" s="62"/>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row>
    <row r="57" spans="1:44" x14ac:dyDescent="0.2">
      <c r="A57" s="380"/>
      <c r="B57" s="380" t="s">
        <v>254</v>
      </c>
      <c r="C57" s="52" t="s">
        <v>86</v>
      </c>
      <c r="D57" s="440">
        <f>SUM(F57:AR57)</f>
        <v>326706.78312498133</v>
      </c>
      <c r="E57" s="380"/>
      <c r="F57" s="417">
        <f>IFERROR(VLOOKUP(F$7,'REF Project Costs'!$A$4:$I$16,5,FALSE),0)</f>
        <v>0</v>
      </c>
      <c r="G57" s="417">
        <f>IFERROR(VLOOKUP(G$7,'REF Project Costs'!$A$4:$I$16,5,FALSE),0)</f>
        <v>0</v>
      </c>
      <c r="H57" s="417">
        <f>IFERROR(VLOOKUP(H$7,'REF Project Costs'!$A$4:$I$16,5,FALSE),0)</f>
        <v>0</v>
      </c>
      <c r="I57" s="417">
        <f>IFERROR(VLOOKUP(I$7,'REF Project Costs'!$A$4:$I$16,5,FALSE),0)</f>
        <v>0</v>
      </c>
      <c r="J57" s="417">
        <f>IFERROR(VLOOKUP(J$7,'REF Project Costs'!$A$4:$I$16,5,FALSE),0)</f>
        <v>0</v>
      </c>
      <c r="K57" s="417">
        <f>IFERROR(VLOOKUP(K$7,'REF Project Costs'!$A$4:$I$16,5,FALSE),0)</f>
        <v>0</v>
      </c>
      <c r="L57" s="417">
        <f>IFERROR(VLOOKUP(L$7,'REF Project Costs'!$A$4:$I$16,5,FALSE),0)</f>
        <v>0</v>
      </c>
      <c r="M57" s="417">
        <f>IFERROR(VLOOKUP(M$7,'REF Project Costs'!$A$4:$I$16,5,FALSE),0)</f>
        <v>0</v>
      </c>
      <c r="N57" s="417">
        <f>IFERROR(VLOOKUP(N$7,'REF Project Costs'!$A$4:$I$16,5,FALSE),0)</f>
        <v>0</v>
      </c>
      <c r="O57" s="417">
        <f>IFERROR(VLOOKUP(O$7,'REF Project Costs'!$A$4:$I$16,5,FALSE),0)</f>
        <v>326706.78312498133</v>
      </c>
      <c r="P57" s="417">
        <f>IFERROR(VLOOKUP(P$7,'REF Project Costs'!$A$4:$I$16,5,FALSE),0)</f>
        <v>0</v>
      </c>
      <c r="Q57" s="417">
        <f>IFERROR(VLOOKUP(Q$7,'REF Project Costs'!$A$4:$I$16,5,FALSE),0)</f>
        <v>0</v>
      </c>
      <c r="R57" s="417">
        <f>IFERROR(VLOOKUP(R$7,'REF Project Costs'!$A$4:$I$16,5,FALSE),0)</f>
        <v>0</v>
      </c>
      <c r="S57" s="417">
        <f>IFERROR(VLOOKUP(S$7,'REF Project Costs'!$A$4:$I$16,5,FALSE),0)</f>
        <v>0</v>
      </c>
      <c r="T57" s="417">
        <f>IFERROR(VLOOKUP(T$7,'REF Project Costs'!$A$4:$I$16,5,FALSE),0)</f>
        <v>0</v>
      </c>
      <c r="U57" s="417">
        <f>IFERROR(VLOOKUP(U$7,'REF Project Costs'!$A$4:$I$16,5,FALSE),0)</f>
        <v>0</v>
      </c>
      <c r="V57" s="417">
        <f>IFERROR(VLOOKUP(V$7,'REF Project Costs'!$A$4:$I$16,5,FALSE),0)</f>
        <v>0</v>
      </c>
      <c r="W57" s="417">
        <f>IFERROR(VLOOKUP(W$7,'REF Project Costs'!$A$4:$I$16,5,FALSE),0)</f>
        <v>0</v>
      </c>
      <c r="X57" s="417">
        <f>IFERROR(VLOOKUP(X$7,'REF Project Costs'!$A$4:$I$16,5,FALSE),0)</f>
        <v>0</v>
      </c>
      <c r="Y57" s="417">
        <f>IFERROR(VLOOKUP(Y$7,'REF Project Costs'!$A$4:$I$16,5,FALSE),0)</f>
        <v>0</v>
      </c>
      <c r="Z57" s="417">
        <f>IFERROR(VLOOKUP(Z$7,'REF Project Costs'!$A$4:$I$16,5,FALSE),0)</f>
        <v>0</v>
      </c>
      <c r="AA57" s="417">
        <f>IFERROR(VLOOKUP(AA$7,'REF Project Costs'!$A$4:$I$16,5,FALSE),0)</f>
        <v>0</v>
      </c>
      <c r="AB57" s="417">
        <f>IFERROR(VLOOKUP(AB$7,'REF Project Costs'!$A$4:$I$16,5,FALSE),0)</f>
        <v>0</v>
      </c>
      <c r="AC57" s="417">
        <f>IFERROR(VLOOKUP(AC$7,'REF Project Costs'!$A$4:$I$16,5,FALSE),0)</f>
        <v>0</v>
      </c>
      <c r="AD57" s="417">
        <f>IFERROR(VLOOKUP(AD$7,'REF Project Costs'!$A$4:$I$16,5,FALSE),0)</f>
        <v>0</v>
      </c>
      <c r="AE57" s="417">
        <f>IFERROR(VLOOKUP(AE$7,'REF Project Costs'!$A$4:$I$16,5,FALSE),0)</f>
        <v>0</v>
      </c>
      <c r="AF57" s="417">
        <f>IFERROR(VLOOKUP(AF$7,'REF Project Costs'!$A$4:$I$16,5,FALSE),0)</f>
        <v>0</v>
      </c>
      <c r="AG57" s="417">
        <f>IFERROR(VLOOKUP(AG$7,'REF Project Costs'!$A$4:$I$16,5,FALSE),0)</f>
        <v>0</v>
      </c>
      <c r="AH57" s="417">
        <f>IFERROR(VLOOKUP(AH$7,'REF Project Costs'!$A$4:$I$16,5,FALSE),0)</f>
        <v>0</v>
      </c>
      <c r="AI57" s="417">
        <f>IFERROR(VLOOKUP(AI$7,'REF Project Costs'!$A$4:$I$16,5,FALSE),0)</f>
        <v>0</v>
      </c>
      <c r="AJ57" s="417">
        <f>IFERROR(VLOOKUP(AJ$7,'REF Project Costs'!$A$4:$I$16,5,FALSE),0)</f>
        <v>0</v>
      </c>
      <c r="AK57" s="417">
        <f>IFERROR(VLOOKUP(AK$7,'REF Project Costs'!$A$4:$I$16,5,FALSE),0)</f>
        <v>0</v>
      </c>
      <c r="AL57" s="417">
        <f>IFERROR(VLOOKUP(AL$7,'REF Project Costs'!$A$4:$I$16,5,FALSE),0)</f>
        <v>0</v>
      </c>
      <c r="AM57" s="417">
        <f>IFERROR(VLOOKUP(AM$7,'REF Project Costs'!$A$4:$I$16,5,FALSE),0)</f>
        <v>0</v>
      </c>
      <c r="AN57" s="417">
        <f>IFERROR(VLOOKUP(AN$7,'REF Project Costs'!$A$4:$I$16,5,FALSE),0)</f>
        <v>0</v>
      </c>
      <c r="AO57" s="417">
        <f>IFERROR(VLOOKUP(AO$7,'REF Project Costs'!$A$4:$I$16,5,FALSE),0)</f>
        <v>0</v>
      </c>
      <c r="AP57" s="417">
        <f>IFERROR(VLOOKUP(AP$7,'REF Project Costs'!$A$4:$I$16,5,FALSE),0)</f>
        <v>0</v>
      </c>
      <c r="AQ57" s="417">
        <f>IFERROR(VLOOKUP(AQ$7,'REF Project Costs'!$A$4:$I$16,5,FALSE),0)</f>
        <v>0</v>
      </c>
      <c r="AR57" s="417">
        <f>IFERROR(VLOOKUP(AR$7,'REF Project Costs'!$A$4:$I$16,5,FALSE),0)</f>
        <v>0</v>
      </c>
    </row>
    <row r="58" spans="1:44" x14ac:dyDescent="0.2">
      <c r="A58" s="380"/>
      <c r="B58" s="380"/>
      <c r="C58" s="52"/>
      <c r="D58" s="440"/>
      <c r="E58" s="417"/>
      <c r="F58" s="417"/>
      <c r="G58" s="417"/>
      <c r="H58" s="417"/>
      <c r="I58" s="417"/>
      <c r="J58" s="417"/>
      <c r="K58" s="417"/>
      <c r="L58" s="417"/>
      <c r="M58" s="417"/>
      <c r="N58" s="417"/>
      <c r="O58" s="417"/>
      <c r="P58" s="417"/>
      <c r="Q58" s="417"/>
      <c r="R58" s="417"/>
      <c r="S58" s="417"/>
      <c r="T58" s="417"/>
      <c r="U58" s="417"/>
      <c r="V58" s="417"/>
      <c r="W58" s="417"/>
      <c r="X58" s="417"/>
      <c r="Y58" s="417"/>
      <c r="Z58" s="417"/>
      <c r="AA58" s="417"/>
      <c r="AB58" s="417"/>
      <c r="AC58" s="417"/>
      <c r="AD58" s="417"/>
      <c r="AE58" s="417"/>
      <c r="AF58" s="417"/>
      <c r="AG58" s="417"/>
      <c r="AH58" s="417"/>
      <c r="AI58" s="417"/>
      <c r="AJ58" s="417"/>
      <c r="AK58" s="417"/>
      <c r="AL58" s="417"/>
      <c r="AM58" s="417"/>
      <c r="AN58" s="417"/>
      <c r="AO58" s="417"/>
      <c r="AP58" s="417"/>
      <c r="AQ58" s="417"/>
      <c r="AR58" s="417"/>
    </row>
    <row r="59" spans="1:44" ht="15" x14ac:dyDescent="0.25">
      <c r="A59" s="380"/>
      <c r="B59" s="2" t="s">
        <v>251</v>
      </c>
      <c r="C59" s="7"/>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row>
    <row r="60" spans="1:44" x14ac:dyDescent="0.2">
      <c r="A60" s="380"/>
      <c r="B60" s="380" t="s">
        <v>252</v>
      </c>
      <c r="C60" s="52" t="s">
        <v>86</v>
      </c>
      <c r="D60" s="440">
        <f>SUM(F60:AR60)</f>
        <v>326706.78312498133</v>
      </c>
      <c r="E60" s="417"/>
      <c r="F60" s="417">
        <f t="shared" ref="F60:AR60" si="27">F$57*F15</f>
        <v>0</v>
      </c>
      <c r="G60" s="417">
        <f t="shared" si="27"/>
        <v>0</v>
      </c>
      <c r="H60" s="417">
        <f t="shared" si="27"/>
        <v>0</v>
      </c>
      <c r="I60" s="417">
        <f t="shared" si="27"/>
        <v>0</v>
      </c>
      <c r="J60" s="417">
        <f t="shared" si="27"/>
        <v>0</v>
      </c>
      <c r="K60" s="417">
        <f t="shared" si="27"/>
        <v>0</v>
      </c>
      <c r="L60" s="417">
        <f t="shared" si="27"/>
        <v>0</v>
      </c>
      <c r="M60" s="417">
        <f t="shared" si="27"/>
        <v>0</v>
      </c>
      <c r="N60" s="417">
        <f t="shared" si="27"/>
        <v>0</v>
      </c>
      <c r="O60" s="417">
        <f t="shared" si="27"/>
        <v>326706.78312498133</v>
      </c>
      <c r="P60" s="417">
        <f t="shared" si="27"/>
        <v>0</v>
      </c>
      <c r="Q60" s="417">
        <f t="shared" si="27"/>
        <v>0</v>
      </c>
      <c r="R60" s="417">
        <f t="shared" si="27"/>
        <v>0</v>
      </c>
      <c r="S60" s="417">
        <f t="shared" si="27"/>
        <v>0</v>
      </c>
      <c r="T60" s="417">
        <f t="shared" si="27"/>
        <v>0</v>
      </c>
      <c r="U60" s="417">
        <f t="shared" si="27"/>
        <v>0</v>
      </c>
      <c r="V60" s="417">
        <f t="shared" si="27"/>
        <v>0</v>
      </c>
      <c r="W60" s="417">
        <f t="shared" si="27"/>
        <v>0</v>
      </c>
      <c r="X60" s="417">
        <f t="shared" si="27"/>
        <v>0</v>
      </c>
      <c r="Y60" s="417">
        <f t="shared" si="27"/>
        <v>0</v>
      </c>
      <c r="Z60" s="417">
        <f t="shared" si="27"/>
        <v>0</v>
      </c>
      <c r="AA60" s="417">
        <f t="shared" si="27"/>
        <v>0</v>
      </c>
      <c r="AB60" s="417">
        <f t="shared" si="27"/>
        <v>0</v>
      </c>
      <c r="AC60" s="417">
        <f t="shared" si="27"/>
        <v>0</v>
      </c>
      <c r="AD60" s="417">
        <f t="shared" si="27"/>
        <v>0</v>
      </c>
      <c r="AE60" s="417">
        <f t="shared" si="27"/>
        <v>0</v>
      </c>
      <c r="AF60" s="417">
        <f t="shared" si="27"/>
        <v>0</v>
      </c>
      <c r="AG60" s="417">
        <f t="shared" si="27"/>
        <v>0</v>
      </c>
      <c r="AH60" s="417">
        <f t="shared" si="27"/>
        <v>0</v>
      </c>
      <c r="AI60" s="417">
        <f t="shared" si="27"/>
        <v>0</v>
      </c>
      <c r="AJ60" s="417">
        <f t="shared" si="27"/>
        <v>0</v>
      </c>
      <c r="AK60" s="417">
        <f t="shared" si="27"/>
        <v>0</v>
      </c>
      <c r="AL60" s="417">
        <f t="shared" si="27"/>
        <v>0</v>
      </c>
      <c r="AM60" s="417">
        <f t="shared" si="27"/>
        <v>0</v>
      </c>
      <c r="AN60" s="417">
        <f t="shared" si="27"/>
        <v>0</v>
      </c>
      <c r="AO60" s="417">
        <f t="shared" si="27"/>
        <v>0</v>
      </c>
      <c r="AP60" s="417">
        <f t="shared" si="27"/>
        <v>0</v>
      </c>
      <c r="AQ60" s="417">
        <f t="shared" si="27"/>
        <v>0</v>
      </c>
      <c r="AR60" s="417">
        <f t="shared" si="27"/>
        <v>0</v>
      </c>
    </row>
    <row r="61" spans="1:44" x14ac:dyDescent="0.2">
      <c r="A61" s="380"/>
      <c r="B61" s="380" t="str">
        <f>Inputs!$C$30</f>
        <v>2% Discount Factor</v>
      </c>
      <c r="C61" s="52" t="s">
        <v>86</v>
      </c>
      <c r="D61" s="440">
        <f>SUM(F61:AR61)</f>
        <v>290106.27378109412</v>
      </c>
      <c r="E61" s="417"/>
      <c r="F61" s="417">
        <f t="shared" ref="F61:AR61" si="28">F$57*F16</f>
        <v>0</v>
      </c>
      <c r="G61" s="417">
        <f t="shared" si="28"/>
        <v>0</v>
      </c>
      <c r="H61" s="417">
        <f t="shared" si="28"/>
        <v>0</v>
      </c>
      <c r="I61" s="417">
        <f t="shared" si="28"/>
        <v>0</v>
      </c>
      <c r="J61" s="417">
        <f t="shared" si="28"/>
        <v>0</v>
      </c>
      <c r="K61" s="417">
        <f t="shared" si="28"/>
        <v>0</v>
      </c>
      <c r="L61" s="417">
        <f t="shared" si="28"/>
        <v>0</v>
      </c>
      <c r="M61" s="417">
        <f t="shared" si="28"/>
        <v>0</v>
      </c>
      <c r="N61" s="417">
        <f t="shared" si="28"/>
        <v>0</v>
      </c>
      <c r="O61" s="417">
        <f t="shared" si="28"/>
        <v>290106.27378109412</v>
      </c>
      <c r="P61" s="417">
        <f t="shared" si="28"/>
        <v>0</v>
      </c>
      <c r="Q61" s="417">
        <f t="shared" si="28"/>
        <v>0</v>
      </c>
      <c r="R61" s="417">
        <f t="shared" si="28"/>
        <v>0</v>
      </c>
      <c r="S61" s="417">
        <f t="shared" si="28"/>
        <v>0</v>
      </c>
      <c r="T61" s="417">
        <f t="shared" si="28"/>
        <v>0</v>
      </c>
      <c r="U61" s="417">
        <f t="shared" si="28"/>
        <v>0</v>
      </c>
      <c r="V61" s="417">
        <f t="shared" si="28"/>
        <v>0</v>
      </c>
      <c r="W61" s="417">
        <f t="shared" si="28"/>
        <v>0</v>
      </c>
      <c r="X61" s="417">
        <f t="shared" si="28"/>
        <v>0</v>
      </c>
      <c r="Y61" s="417">
        <f t="shared" si="28"/>
        <v>0</v>
      </c>
      <c r="Z61" s="417">
        <f t="shared" si="28"/>
        <v>0</v>
      </c>
      <c r="AA61" s="417">
        <f t="shared" si="28"/>
        <v>0</v>
      </c>
      <c r="AB61" s="417">
        <f t="shared" si="28"/>
        <v>0</v>
      </c>
      <c r="AC61" s="417">
        <f t="shared" si="28"/>
        <v>0</v>
      </c>
      <c r="AD61" s="417">
        <f t="shared" si="28"/>
        <v>0</v>
      </c>
      <c r="AE61" s="417">
        <f t="shared" si="28"/>
        <v>0</v>
      </c>
      <c r="AF61" s="417">
        <f t="shared" si="28"/>
        <v>0</v>
      </c>
      <c r="AG61" s="417">
        <f t="shared" si="28"/>
        <v>0</v>
      </c>
      <c r="AH61" s="417">
        <f t="shared" si="28"/>
        <v>0</v>
      </c>
      <c r="AI61" s="417">
        <f t="shared" si="28"/>
        <v>0</v>
      </c>
      <c r="AJ61" s="417">
        <f t="shared" si="28"/>
        <v>0</v>
      </c>
      <c r="AK61" s="417">
        <f t="shared" si="28"/>
        <v>0</v>
      </c>
      <c r="AL61" s="417">
        <f t="shared" si="28"/>
        <v>0</v>
      </c>
      <c r="AM61" s="417">
        <f t="shared" si="28"/>
        <v>0</v>
      </c>
      <c r="AN61" s="417">
        <f t="shared" si="28"/>
        <v>0</v>
      </c>
      <c r="AO61" s="417">
        <f t="shared" si="28"/>
        <v>0</v>
      </c>
      <c r="AP61" s="417">
        <f t="shared" si="28"/>
        <v>0</v>
      </c>
      <c r="AQ61" s="417">
        <f t="shared" si="28"/>
        <v>0</v>
      </c>
      <c r="AR61" s="417">
        <f t="shared" si="28"/>
        <v>0</v>
      </c>
    </row>
    <row r="62" spans="1:44" x14ac:dyDescent="0.2">
      <c r="A62" s="380"/>
      <c r="B62" s="380" t="str">
        <f>Inputs!$C$31</f>
        <v>3.1% Discount Factor</v>
      </c>
      <c r="C62" s="52" t="s">
        <v>86</v>
      </c>
      <c r="D62" s="440">
        <f>SUM(F62:AR62)</f>
        <v>272023.33436750417</v>
      </c>
      <c r="E62" s="417"/>
      <c r="F62" s="417">
        <f t="shared" ref="F62:AR62" si="29">F$57*F17</f>
        <v>0</v>
      </c>
      <c r="G62" s="417">
        <f t="shared" si="29"/>
        <v>0</v>
      </c>
      <c r="H62" s="417">
        <f t="shared" si="29"/>
        <v>0</v>
      </c>
      <c r="I62" s="417">
        <f t="shared" si="29"/>
        <v>0</v>
      </c>
      <c r="J62" s="417">
        <f t="shared" si="29"/>
        <v>0</v>
      </c>
      <c r="K62" s="417">
        <f t="shared" si="29"/>
        <v>0</v>
      </c>
      <c r="L62" s="417">
        <f t="shared" si="29"/>
        <v>0</v>
      </c>
      <c r="M62" s="417">
        <f t="shared" si="29"/>
        <v>0</v>
      </c>
      <c r="N62" s="417">
        <f t="shared" si="29"/>
        <v>0</v>
      </c>
      <c r="O62" s="417">
        <f t="shared" si="29"/>
        <v>272023.33436750417</v>
      </c>
      <c r="P62" s="417">
        <f t="shared" si="29"/>
        <v>0</v>
      </c>
      <c r="Q62" s="417">
        <f t="shared" si="29"/>
        <v>0</v>
      </c>
      <c r="R62" s="417">
        <f t="shared" si="29"/>
        <v>0</v>
      </c>
      <c r="S62" s="417">
        <f t="shared" si="29"/>
        <v>0</v>
      </c>
      <c r="T62" s="417">
        <f t="shared" si="29"/>
        <v>0</v>
      </c>
      <c r="U62" s="417">
        <f t="shared" si="29"/>
        <v>0</v>
      </c>
      <c r="V62" s="417">
        <f t="shared" si="29"/>
        <v>0</v>
      </c>
      <c r="W62" s="417">
        <f t="shared" si="29"/>
        <v>0</v>
      </c>
      <c r="X62" s="417">
        <f t="shared" si="29"/>
        <v>0</v>
      </c>
      <c r="Y62" s="417">
        <f t="shared" si="29"/>
        <v>0</v>
      </c>
      <c r="Z62" s="417">
        <f t="shared" si="29"/>
        <v>0</v>
      </c>
      <c r="AA62" s="417">
        <f t="shared" si="29"/>
        <v>0</v>
      </c>
      <c r="AB62" s="417">
        <f t="shared" si="29"/>
        <v>0</v>
      </c>
      <c r="AC62" s="417">
        <f t="shared" si="29"/>
        <v>0</v>
      </c>
      <c r="AD62" s="417">
        <f t="shared" si="29"/>
        <v>0</v>
      </c>
      <c r="AE62" s="417">
        <f t="shared" si="29"/>
        <v>0</v>
      </c>
      <c r="AF62" s="417">
        <f t="shared" si="29"/>
        <v>0</v>
      </c>
      <c r="AG62" s="417">
        <f t="shared" si="29"/>
        <v>0</v>
      </c>
      <c r="AH62" s="417">
        <f t="shared" si="29"/>
        <v>0</v>
      </c>
      <c r="AI62" s="417">
        <f t="shared" si="29"/>
        <v>0</v>
      </c>
      <c r="AJ62" s="417">
        <f t="shared" si="29"/>
        <v>0</v>
      </c>
      <c r="AK62" s="417">
        <f t="shared" si="29"/>
        <v>0</v>
      </c>
      <c r="AL62" s="417">
        <f t="shared" si="29"/>
        <v>0</v>
      </c>
      <c r="AM62" s="417">
        <f t="shared" si="29"/>
        <v>0</v>
      </c>
      <c r="AN62" s="417">
        <f t="shared" si="29"/>
        <v>0</v>
      </c>
      <c r="AO62" s="417">
        <f t="shared" si="29"/>
        <v>0</v>
      </c>
      <c r="AP62" s="417">
        <f t="shared" si="29"/>
        <v>0</v>
      </c>
      <c r="AQ62" s="417">
        <f t="shared" si="29"/>
        <v>0</v>
      </c>
      <c r="AR62" s="417">
        <f t="shared" si="29"/>
        <v>0</v>
      </c>
    </row>
    <row r="63" spans="1:44" x14ac:dyDescent="0.2">
      <c r="A63" s="380"/>
      <c r="B63" s="380"/>
      <c r="C63" s="7"/>
      <c r="D63" s="380"/>
      <c r="E63" s="380"/>
      <c r="F63" s="380"/>
      <c r="G63" s="380"/>
      <c r="H63" s="380"/>
      <c r="I63" s="380"/>
      <c r="J63" s="380"/>
      <c r="K63" s="380"/>
      <c r="L63" s="380"/>
      <c r="M63" s="380"/>
      <c r="N63" s="380"/>
      <c r="O63" s="380"/>
      <c r="P63" s="380"/>
      <c r="Q63" s="380"/>
      <c r="R63" s="380"/>
      <c r="S63" s="380"/>
      <c r="T63" s="380"/>
      <c r="U63" s="380"/>
      <c r="V63" s="380"/>
      <c r="W63" s="380"/>
      <c r="X63" s="380"/>
      <c r="Y63" s="380"/>
      <c r="Z63" s="380"/>
      <c r="AA63" s="380"/>
      <c r="AB63" s="380"/>
      <c r="AC63" s="380"/>
      <c r="AD63" s="380"/>
      <c r="AE63" s="380"/>
      <c r="AF63" s="380"/>
      <c r="AG63" s="380"/>
      <c r="AH63" s="380"/>
      <c r="AI63" s="380"/>
      <c r="AJ63" s="380"/>
      <c r="AK63" s="380"/>
      <c r="AL63" s="380"/>
      <c r="AM63" s="380"/>
      <c r="AN63" s="380"/>
      <c r="AO63" s="380"/>
      <c r="AP63" s="380"/>
      <c r="AQ63" s="380"/>
      <c r="AR63" s="380"/>
    </row>
    <row r="64" spans="1:44" s="4" customFormat="1" x14ac:dyDescent="0.2">
      <c r="A64" s="449" t="s">
        <v>256</v>
      </c>
      <c r="B64" s="449"/>
      <c r="C64" s="8"/>
      <c r="D64" s="450"/>
      <c r="E64" s="450"/>
      <c r="F64" s="450"/>
      <c r="G64" s="450"/>
      <c r="H64" s="450"/>
      <c r="I64" s="450"/>
      <c r="J64" s="450"/>
      <c r="K64" s="450"/>
      <c r="L64" s="450"/>
      <c r="M64" s="450"/>
      <c r="N64" s="450"/>
      <c r="O64" s="450"/>
      <c r="P64" s="450"/>
      <c r="Q64" s="450"/>
      <c r="R64" s="450"/>
      <c r="S64" s="450"/>
      <c r="T64" s="450"/>
      <c r="U64" s="450"/>
      <c r="V64" s="450"/>
      <c r="W64" s="450"/>
      <c r="X64" s="450"/>
      <c r="Y64" s="450"/>
      <c r="Z64" s="450"/>
      <c r="AA64" s="450"/>
      <c r="AB64" s="450"/>
      <c r="AC64" s="450"/>
      <c r="AD64" s="450"/>
      <c r="AE64" s="450"/>
      <c r="AF64" s="450"/>
      <c r="AG64" s="450"/>
      <c r="AH64" s="450"/>
      <c r="AI64" s="450"/>
      <c r="AJ64" s="450"/>
      <c r="AK64" s="450"/>
      <c r="AL64" s="450"/>
      <c r="AM64" s="450"/>
      <c r="AN64" s="450"/>
      <c r="AO64" s="450"/>
      <c r="AP64" s="450"/>
      <c r="AQ64" s="450"/>
      <c r="AR64" s="450"/>
    </row>
    <row r="65" spans="1:44" ht="15" x14ac:dyDescent="0.25">
      <c r="A65" s="2" t="s">
        <v>245</v>
      </c>
      <c r="B65" s="380"/>
      <c r="C65" s="380"/>
      <c r="D65" s="380"/>
      <c r="E65" s="380"/>
      <c r="F65" s="417"/>
      <c r="G65" s="417"/>
      <c r="H65" s="417"/>
      <c r="I65" s="417"/>
      <c r="J65" s="417"/>
      <c r="K65" s="417"/>
      <c r="L65" s="417"/>
      <c r="M65" s="417"/>
      <c r="N65" s="417"/>
      <c r="O65" s="417"/>
      <c r="P65" s="417"/>
      <c r="Q65" s="417"/>
      <c r="R65" s="417"/>
      <c r="S65" s="417"/>
      <c r="T65" s="417"/>
      <c r="U65" s="417"/>
      <c r="V65" s="417"/>
      <c r="W65" s="417"/>
      <c r="X65" s="417"/>
      <c r="Y65" s="417"/>
      <c r="Z65" s="417"/>
      <c r="AA65" s="417"/>
      <c r="AB65" s="417"/>
      <c r="AC65" s="417"/>
      <c r="AD65" s="417"/>
      <c r="AE65" s="417"/>
      <c r="AF65" s="417"/>
      <c r="AG65" s="417"/>
      <c r="AH65" s="417"/>
      <c r="AI65" s="417"/>
      <c r="AJ65" s="417"/>
      <c r="AK65" s="417"/>
      <c r="AL65" s="417"/>
      <c r="AM65" s="417"/>
      <c r="AN65" s="417"/>
      <c r="AO65" s="417"/>
      <c r="AP65" s="417"/>
      <c r="AQ65" s="417"/>
      <c r="AR65" s="417"/>
    </row>
    <row r="66" spans="1:44" x14ac:dyDescent="0.2">
      <c r="A66" s="380"/>
      <c r="B66" s="380" t="s">
        <v>252</v>
      </c>
      <c r="C66" s="52" t="s">
        <v>86</v>
      </c>
      <c r="D66" s="440">
        <f>SUM(F66:AR66)</f>
        <v>27335510.498564161</v>
      </c>
      <c r="E66" s="380"/>
      <c r="F66" s="417">
        <f t="shared" ref="F66:AR66" si="30">F52-F30</f>
        <v>0</v>
      </c>
      <c r="G66" s="417">
        <f t="shared" si="30"/>
        <v>0</v>
      </c>
      <c r="H66" s="417">
        <f t="shared" si="30"/>
        <v>0</v>
      </c>
      <c r="I66" s="417">
        <f t="shared" si="30"/>
        <v>0</v>
      </c>
      <c r="J66" s="417">
        <f t="shared" si="30"/>
        <v>0</v>
      </c>
      <c r="K66" s="417">
        <f t="shared" si="30"/>
        <v>0</v>
      </c>
      <c r="L66" s="417">
        <f t="shared" si="30"/>
        <v>2546581.9893188532</v>
      </c>
      <c r="M66" s="417">
        <f t="shared" si="30"/>
        <v>12394464.254622653</v>
      </c>
      <c r="N66" s="417">
        <f t="shared" si="30"/>
        <v>12394464.254622653</v>
      </c>
      <c r="O66" s="417">
        <f t="shared" si="30"/>
        <v>0</v>
      </c>
      <c r="P66" s="417">
        <f t="shared" si="30"/>
        <v>0</v>
      </c>
      <c r="Q66" s="417">
        <f t="shared" si="30"/>
        <v>0</v>
      </c>
      <c r="R66" s="417">
        <f t="shared" si="30"/>
        <v>0</v>
      </c>
      <c r="S66" s="417">
        <f t="shared" si="30"/>
        <v>0</v>
      </c>
      <c r="T66" s="417">
        <f t="shared" si="30"/>
        <v>0</v>
      </c>
      <c r="U66" s="417">
        <f t="shared" si="30"/>
        <v>0</v>
      </c>
      <c r="V66" s="417">
        <f t="shared" si="30"/>
        <v>0</v>
      </c>
      <c r="W66" s="417">
        <f t="shared" si="30"/>
        <v>0</v>
      </c>
      <c r="X66" s="417">
        <f t="shared" si="30"/>
        <v>0</v>
      </c>
      <c r="Y66" s="417">
        <f t="shared" si="30"/>
        <v>0</v>
      </c>
      <c r="Z66" s="417">
        <f t="shared" si="30"/>
        <v>0</v>
      </c>
      <c r="AA66" s="417">
        <f t="shared" si="30"/>
        <v>0</v>
      </c>
      <c r="AB66" s="417">
        <f t="shared" si="30"/>
        <v>0</v>
      </c>
      <c r="AC66" s="417">
        <f t="shared" si="30"/>
        <v>0</v>
      </c>
      <c r="AD66" s="417">
        <f t="shared" si="30"/>
        <v>0</v>
      </c>
      <c r="AE66" s="417">
        <f t="shared" si="30"/>
        <v>0</v>
      </c>
      <c r="AF66" s="417">
        <f t="shared" si="30"/>
        <v>0</v>
      </c>
      <c r="AG66" s="417">
        <f t="shared" si="30"/>
        <v>0</v>
      </c>
      <c r="AH66" s="417">
        <f t="shared" si="30"/>
        <v>0</v>
      </c>
      <c r="AI66" s="417">
        <f t="shared" si="30"/>
        <v>0</v>
      </c>
      <c r="AJ66" s="417">
        <f t="shared" si="30"/>
        <v>0</v>
      </c>
      <c r="AK66" s="417">
        <f t="shared" si="30"/>
        <v>0</v>
      </c>
      <c r="AL66" s="417">
        <f t="shared" si="30"/>
        <v>0</v>
      </c>
      <c r="AM66" s="417">
        <f t="shared" si="30"/>
        <v>0</v>
      </c>
      <c r="AN66" s="417">
        <f t="shared" si="30"/>
        <v>0</v>
      </c>
      <c r="AO66" s="417">
        <f t="shared" si="30"/>
        <v>0</v>
      </c>
      <c r="AP66" s="417">
        <f t="shared" si="30"/>
        <v>0</v>
      </c>
      <c r="AQ66" s="417">
        <f t="shared" si="30"/>
        <v>0</v>
      </c>
      <c r="AR66" s="417">
        <f t="shared" si="30"/>
        <v>0</v>
      </c>
    </row>
    <row r="67" spans="1:44" x14ac:dyDescent="0.2">
      <c r="A67" s="380"/>
      <c r="B67" s="380" t="str">
        <f>Inputs!$C$30</f>
        <v>2% Discount Factor</v>
      </c>
      <c r="C67" s="52" t="s">
        <v>86</v>
      </c>
      <c r="D67" s="440">
        <f>SUM(F67:AR67)</f>
        <v>25076318.341719985</v>
      </c>
      <c r="E67" s="380"/>
      <c r="F67" s="417">
        <f t="shared" ref="F67:AR67" si="31">F53-F31</f>
        <v>0</v>
      </c>
      <c r="G67" s="417">
        <f t="shared" si="31"/>
        <v>0</v>
      </c>
      <c r="H67" s="417">
        <f t="shared" si="31"/>
        <v>0</v>
      </c>
      <c r="I67" s="417">
        <f t="shared" si="31"/>
        <v>0</v>
      </c>
      <c r="J67" s="417">
        <f t="shared" si="31"/>
        <v>0</v>
      </c>
      <c r="K67" s="417">
        <f t="shared" si="31"/>
        <v>0</v>
      </c>
      <c r="L67" s="417">
        <f t="shared" si="31"/>
        <v>2399701.0852903989</v>
      </c>
      <c r="M67" s="417">
        <f t="shared" si="31"/>
        <v>11450569.109682268</v>
      </c>
      <c r="N67" s="417">
        <f t="shared" si="31"/>
        <v>11226048.146747321</v>
      </c>
      <c r="O67" s="417">
        <f t="shared" si="31"/>
        <v>0</v>
      </c>
      <c r="P67" s="417">
        <f t="shared" si="31"/>
        <v>0</v>
      </c>
      <c r="Q67" s="417">
        <f t="shared" si="31"/>
        <v>0</v>
      </c>
      <c r="R67" s="417">
        <f t="shared" si="31"/>
        <v>0</v>
      </c>
      <c r="S67" s="417">
        <f t="shared" si="31"/>
        <v>0</v>
      </c>
      <c r="T67" s="417">
        <f t="shared" si="31"/>
        <v>0</v>
      </c>
      <c r="U67" s="417">
        <f t="shared" si="31"/>
        <v>0</v>
      </c>
      <c r="V67" s="417">
        <f t="shared" si="31"/>
        <v>0</v>
      </c>
      <c r="W67" s="417">
        <f t="shared" si="31"/>
        <v>0</v>
      </c>
      <c r="X67" s="417">
        <f t="shared" si="31"/>
        <v>0</v>
      </c>
      <c r="Y67" s="417">
        <f t="shared" si="31"/>
        <v>0</v>
      </c>
      <c r="Z67" s="417">
        <f t="shared" si="31"/>
        <v>0</v>
      </c>
      <c r="AA67" s="417">
        <f t="shared" si="31"/>
        <v>0</v>
      </c>
      <c r="AB67" s="417">
        <f t="shared" si="31"/>
        <v>0</v>
      </c>
      <c r="AC67" s="417">
        <f t="shared" si="31"/>
        <v>0</v>
      </c>
      <c r="AD67" s="417">
        <f t="shared" si="31"/>
        <v>0</v>
      </c>
      <c r="AE67" s="417">
        <f t="shared" si="31"/>
        <v>0</v>
      </c>
      <c r="AF67" s="417">
        <f t="shared" si="31"/>
        <v>0</v>
      </c>
      <c r="AG67" s="417">
        <f t="shared" si="31"/>
        <v>0</v>
      </c>
      <c r="AH67" s="417">
        <f t="shared" si="31"/>
        <v>0</v>
      </c>
      <c r="AI67" s="417">
        <f t="shared" si="31"/>
        <v>0</v>
      </c>
      <c r="AJ67" s="417">
        <f t="shared" si="31"/>
        <v>0</v>
      </c>
      <c r="AK67" s="417">
        <f t="shared" si="31"/>
        <v>0</v>
      </c>
      <c r="AL67" s="417">
        <f t="shared" si="31"/>
        <v>0</v>
      </c>
      <c r="AM67" s="417">
        <f t="shared" si="31"/>
        <v>0</v>
      </c>
      <c r="AN67" s="417">
        <f t="shared" si="31"/>
        <v>0</v>
      </c>
      <c r="AO67" s="417">
        <f t="shared" si="31"/>
        <v>0</v>
      </c>
      <c r="AP67" s="417">
        <f t="shared" si="31"/>
        <v>0</v>
      </c>
      <c r="AQ67" s="417">
        <f t="shared" si="31"/>
        <v>0</v>
      </c>
      <c r="AR67" s="417">
        <f t="shared" si="31"/>
        <v>0</v>
      </c>
    </row>
    <row r="68" spans="1:44" x14ac:dyDescent="0.2">
      <c r="A68" s="380"/>
      <c r="B68" s="380" t="str">
        <f>Inputs!$C$31</f>
        <v>3.1% Discount Factor</v>
      </c>
      <c r="C68" s="52" t="s">
        <v>86</v>
      </c>
      <c r="D68" s="440">
        <f>SUM(F68:AR68)</f>
        <v>23933190.598628066</v>
      </c>
      <c r="E68" s="380"/>
      <c r="F68" s="417">
        <f t="shared" ref="F68:AR68" si="32">F54-F32</f>
        <v>0</v>
      </c>
      <c r="G68" s="417">
        <f t="shared" si="32"/>
        <v>0</v>
      </c>
      <c r="H68" s="417">
        <f t="shared" si="32"/>
        <v>0</v>
      </c>
      <c r="I68" s="417">
        <f t="shared" si="32"/>
        <v>0</v>
      </c>
      <c r="J68" s="417">
        <f t="shared" si="32"/>
        <v>0</v>
      </c>
      <c r="K68" s="417">
        <f t="shared" si="32"/>
        <v>0</v>
      </c>
      <c r="L68" s="417">
        <f t="shared" si="32"/>
        <v>2323708.6109699891</v>
      </c>
      <c r="M68" s="417">
        <f t="shared" si="32"/>
        <v>10969658.2615832</v>
      </c>
      <c r="N68" s="417">
        <f t="shared" si="32"/>
        <v>10639823.72607488</v>
      </c>
      <c r="O68" s="417">
        <f t="shared" si="32"/>
        <v>0</v>
      </c>
      <c r="P68" s="417">
        <f t="shared" si="32"/>
        <v>0</v>
      </c>
      <c r="Q68" s="417">
        <f t="shared" si="32"/>
        <v>0</v>
      </c>
      <c r="R68" s="417">
        <f t="shared" si="32"/>
        <v>0</v>
      </c>
      <c r="S68" s="417">
        <f t="shared" si="32"/>
        <v>0</v>
      </c>
      <c r="T68" s="417">
        <f t="shared" si="32"/>
        <v>0</v>
      </c>
      <c r="U68" s="417">
        <f t="shared" si="32"/>
        <v>0</v>
      </c>
      <c r="V68" s="417">
        <f t="shared" si="32"/>
        <v>0</v>
      </c>
      <c r="W68" s="417">
        <f t="shared" si="32"/>
        <v>0</v>
      </c>
      <c r="X68" s="417">
        <f t="shared" si="32"/>
        <v>0</v>
      </c>
      <c r="Y68" s="417">
        <f t="shared" si="32"/>
        <v>0</v>
      </c>
      <c r="Z68" s="417">
        <f t="shared" si="32"/>
        <v>0</v>
      </c>
      <c r="AA68" s="417">
        <f t="shared" si="32"/>
        <v>0</v>
      </c>
      <c r="AB68" s="417">
        <f t="shared" si="32"/>
        <v>0</v>
      </c>
      <c r="AC68" s="417">
        <f t="shared" si="32"/>
        <v>0</v>
      </c>
      <c r="AD68" s="417">
        <f t="shared" si="32"/>
        <v>0</v>
      </c>
      <c r="AE68" s="417">
        <f t="shared" si="32"/>
        <v>0</v>
      </c>
      <c r="AF68" s="417">
        <f t="shared" si="32"/>
        <v>0</v>
      </c>
      <c r="AG68" s="417">
        <f t="shared" si="32"/>
        <v>0</v>
      </c>
      <c r="AH68" s="417">
        <f t="shared" si="32"/>
        <v>0</v>
      </c>
      <c r="AI68" s="417">
        <f t="shared" si="32"/>
        <v>0</v>
      </c>
      <c r="AJ68" s="417">
        <f t="shared" si="32"/>
        <v>0</v>
      </c>
      <c r="AK68" s="417">
        <f t="shared" si="32"/>
        <v>0</v>
      </c>
      <c r="AL68" s="417">
        <f t="shared" si="32"/>
        <v>0</v>
      </c>
      <c r="AM68" s="417">
        <f t="shared" si="32"/>
        <v>0</v>
      </c>
      <c r="AN68" s="417">
        <f t="shared" si="32"/>
        <v>0</v>
      </c>
      <c r="AO68" s="417">
        <f t="shared" si="32"/>
        <v>0</v>
      </c>
      <c r="AP68" s="417">
        <f t="shared" si="32"/>
        <v>0</v>
      </c>
      <c r="AQ68" s="417">
        <f t="shared" si="32"/>
        <v>0</v>
      </c>
      <c r="AR68" s="417">
        <f t="shared" si="32"/>
        <v>0</v>
      </c>
    </row>
    <row r="69" spans="1:44" x14ac:dyDescent="0.2">
      <c r="A69" s="380"/>
      <c r="B69" s="380"/>
      <c r="C69" s="52"/>
      <c r="D69" s="440"/>
      <c r="E69" s="380"/>
      <c r="F69" s="417"/>
      <c r="G69" s="417"/>
      <c r="H69" s="417"/>
      <c r="I69" s="417"/>
      <c r="J69" s="417"/>
      <c r="K69" s="417"/>
      <c r="L69" s="417"/>
      <c r="M69" s="417"/>
      <c r="N69" s="417"/>
      <c r="O69" s="417"/>
      <c r="P69" s="417"/>
      <c r="Q69" s="417"/>
      <c r="R69" s="417"/>
      <c r="S69" s="417"/>
      <c r="T69" s="417"/>
      <c r="U69" s="417"/>
      <c r="V69" s="417"/>
      <c r="W69" s="417"/>
      <c r="X69" s="417"/>
      <c r="Y69" s="417"/>
      <c r="Z69" s="417"/>
      <c r="AA69" s="417"/>
      <c r="AB69" s="417"/>
      <c r="AC69" s="417"/>
      <c r="AD69" s="417"/>
      <c r="AE69" s="417"/>
      <c r="AF69" s="417"/>
      <c r="AG69" s="417"/>
      <c r="AH69" s="417"/>
      <c r="AI69" s="417"/>
      <c r="AJ69" s="417"/>
      <c r="AK69" s="417"/>
      <c r="AL69" s="417"/>
      <c r="AM69" s="417"/>
      <c r="AN69" s="417"/>
      <c r="AO69" s="417"/>
      <c r="AP69" s="417"/>
      <c r="AQ69" s="417"/>
      <c r="AR69" s="417"/>
    </row>
    <row r="70" spans="1:44" ht="15" x14ac:dyDescent="0.25">
      <c r="A70" s="2" t="s">
        <v>253</v>
      </c>
      <c r="B70" s="380"/>
      <c r="C70" s="380"/>
      <c r="D70" s="380"/>
      <c r="E70" s="380"/>
      <c r="F70" s="417"/>
      <c r="G70" s="417"/>
      <c r="H70" s="417"/>
      <c r="I70" s="417"/>
      <c r="J70" s="417"/>
      <c r="K70" s="417"/>
      <c r="L70" s="417"/>
      <c r="M70" s="417"/>
      <c r="N70" s="417"/>
      <c r="O70" s="417"/>
      <c r="P70" s="417"/>
      <c r="Q70" s="417"/>
      <c r="R70" s="417"/>
      <c r="S70" s="417"/>
      <c r="T70" s="417"/>
      <c r="U70" s="417"/>
      <c r="V70" s="417"/>
      <c r="W70" s="417"/>
      <c r="X70" s="417"/>
      <c r="Y70" s="417"/>
      <c r="Z70" s="417"/>
      <c r="AA70" s="417"/>
      <c r="AB70" s="417"/>
      <c r="AC70" s="417"/>
      <c r="AD70" s="417"/>
      <c r="AE70" s="417"/>
      <c r="AF70" s="417"/>
      <c r="AG70" s="417"/>
      <c r="AH70" s="417"/>
      <c r="AI70" s="417"/>
      <c r="AJ70" s="417"/>
      <c r="AK70" s="417"/>
      <c r="AL70" s="417"/>
      <c r="AM70" s="417"/>
      <c r="AN70" s="417"/>
      <c r="AO70" s="417"/>
      <c r="AP70" s="417"/>
      <c r="AQ70" s="417"/>
      <c r="AR70" s="417"/>
    </row>
    <row r="71" spans="1:44" x14ac:dyDescent="0.2">
      <c r="A71" s="380"/>
      <c r="B71" s="380" t="s">
        <v>252</v>
      </c>
      <c r="C71" s="52" t="s">
        <v>86</v>
      </c>
      <c r="D71" s="440">
        <f>SUM(F71:AR71)</f>
        <v>-3616177.3652176503</v>
      </c>
      <c r="E71" s="380"/>
      <c r="F71" s="417">
        <f t="shared" ref="F71:AR71" si="33">F60-F39</f>
        <v>0</v>
      </c>
      <c r="G71" s="417">
        <f t="shared" si="33"/>
        <v>0</v>
      </c>
      <c r="H71" s="417">
        <f t="shared" si="33"/>
        <v>0</v>
      </c>
      <c r="I71" s="417">
        <f t="shared" si="33"/>
        <v>0</v>
      </c>
      <c r="J71" s="417">
        <f t="shared" si="33"/>
        <v>0</v>
      </c>
      <c r="K71" s="417">
        <f t="shared" si="33"/>
        <v>0</v>
      </c>
      <c r="L71" s="417">
        <f t="shared" si="33"/>
        <v>0</v>
      </c>
      <c r="M71" s="417">
        <f t="shared" si="33"/>
        <v>0</v>
      </c>
      <c r="N71" s="417">
        <f t="shared" si="33"/>
        <v>0</v>
      </c>
      <c r="O71" s="417">
        <f t="shared" si="33"/>
        <v>326706.78312498133</v>
      </c>
      <c r="P71" s="417">
        <f t="shared" si="33"/>
        <v>0</v>
      </c>
      <c r="Q71" s="417">
        <f t="shared" si="33"/>
        <v>0</v>
      </c>
      <c r="R71" s="417">
        <f t="shared" si="33"/>
        <v>-1504718.0982784855</v>
      </c>
      <c r="S71" s="417">
        <f t="shared" si="33"/>
        <v>0</v>
      </c>
      <c r="T71" s="417">
        <f t="shared" si="33"/>
        <v>0</v>
      </c>
      <c r="U71" s="417">
        <f t="shared" si="33"/>
        <v>0</v>
      </c>
      <c r="V71" s="417">
        <f t="shared" si="33"/>
        <v>0</v>
      </c>
      <c r="W71" s="417">
        <f t="shared" si="33"/>
        <v>-933447.95178566093</v>
      </c>
      <c r="X71" s="417">
        <f t="shared" si="33"/>
        <v>0</v>
      </c>
      <c r="Y71" s="417">
        <f t="shared" si="33"/>
        <v>0</v>
      </c>
      <c r="Z71" s="417">
        <f t="shared" si="33"/>
        <v>0</v>
      </c>
      <c r="AA71" s="417">
        <f t="shared" si="33"/>
        <v>0</v>
      </c>
      <c r="AB71" s="417">
        <f t="shared" si="33"/>
        <v>0</v>
      </c>
      <c r="AC71" s="417">
        <f t="shared" si="33"/>
        <v>0</v>
      </c>
      <c r="AD71" s="417">
        <f t="shared" si="33"/>
        <v>0</v>
      </c>
      <c r="AE71" s="417">
        <f t="shared" si="33"/>
        <v>0</v>
      </c>
      <c r="AF71" s="417">
        <f t="shared" si="33"/>
        <v>0</v>
      </c>
      <c r="AG71" s="417">
        <f t="shared" si="33"/>
        <v>-1504718.0982784855</v>
      </c>
      <c r="AH71" s="417">
        <f t="shared" si="33"/>
        <v>0</v>
      </c>
      <c r="AI71" s="417">
        <f t="shared" si="33"/>
        <v>0</v>
      </c>
      <c r="AJ71" s="417">
        <f t="shared" si="33"/>
        <v>0</v>
      </c>
      <c r="AK71" s="417">
        <f t="shared" si="33"/>
        <v>0</v>
      </c>
      <c r="AL71" s="417">
        <f t="shared" si="33"/>
        <v>0</v>
      </c>
      <c r="AM71" s="417">
        <f t="shared" si="33"/>
        <v>0</v>
      </c>
      <c r="AN71" s="417">
        <f t="shared" si="33"/>
        <v>0</v>
      </c>
      <c r="AO71" s="417">
        <f t="shared" si="33"/>
        <v>0</v>
      </c>
      <c r="AP71" s="417">
        <f t="shared" si="33"/>
        <v>0</v>
      </c>
      <c r="AQ71" s="417">
        <f t="shared" si="33"/>
        <v>0</v>
      </c>
      <c r="AR71" s="417">
        <f t="shared" si="33"/>
        <v>0</v>
      </c>
    </row>
    <row r="72" spans="1:44" x14ac:dyDescent="0.2">
      <c r="A72" s="380"/>
      <c r="B72" s="380" t="str">
        <f>Inputs!$C$30</f>
        <v>2% Discount Factor</v>
      </c>
      <c r="C72" s="52" t="s">
        <v>86</v>
      </c>
      <c r="D72" s="440">
        <f>SUM(F72:AR72)</f>
        <v>-2611926.9830089761</v>
      </c>
      <c r="E72" s="380"/>
      <c r="F72" s="417">
        <f t="shared" ref="F72:AR72" si="34">F61-F40</f>
        <v>0</v>
      </c>
      <c r="G72" s="417">
        <f t="shared" si="34"/>
        <v>0</v>
      </c>
      <c r="H72" s="417">
        <f t="shared" si="34"/>
        <v>0</v>
      </c>
      <c r="I72" s="417">
        <f t="shared" si="34"/>
        <v>0</v>
      </c>
      <c r="J72" s="417">
        <f t="shared" si="34"/>
        <v>0</v>
      </c>
      <c r="K72" s="417">
        <f t="shared" si="34"/>
        <v>0</v>
      </c>
      <c r="L72" s="417">
        <f t="shared" si="34"/>
        <v>0</v>
      </c>
      <c r="M72" s="417">
        <f t="shared" si="34"/>
        <v>0</v>
      </c>
      <c r="N72" s="417">
        <f t="shared" si="34"/>
        <v>0</v>
      </c>
      <c r="O72" s="417">
        <f t="shared" si="34"/>
        <v>290106.27378109412</v>
      </c>
      <c r="P72" s="417">
        <f t="shared" si="34"/>
        <v>0</v>
      </c>
      <c r="Q72" s="417">
        <f t="shared" si="34"/>
        <v>0</v>
      </c>
      <c r="R72" s="417">
        <f t="shared" si="34"/>
        <v>-1259080.7923884152</v>
      </c>
      <c r="S72" s="417">
        <f t="shared" si="34"/>
        <v>0</v>
      </c>
      <c r="T72" s="417">
        <f t="shared" si="34"/>
        <v>0</v>
      </c>
      <c r="U72" s="417">
        <f t="shared" si="34"/>
        <v>0</v>
      </c>
      <c r="V72" s="417">
        <f t="shared" si="34"/>
        <v>0</v>
      </c>
      <c r="W72" s="417">
        <f t="shared" si="34"/>
        <v>-707436.88941144629</v>
      </c>
      <c r="X72" s="417">
        <f t="shared" si="34"/>
        <v>0</v>
      </c>
      <c r="Y72" s="417">
        <f t="shared" si="34"/>
        <v>0</v>
      </c>
      <c r="Z72" s="417">
        <f t="shared" si="34"/>
        <v>0</v>
      </c>
      <c r="AA72" s="417">
        <f t="shared" si="34"/>
        <v>0</v>
      </c>
      <c r="AB72" s="417">
        <f t="shared" si="34"/>
        <v>0</v>
      </c>
      <c r="AC72" s="417">
        <f t="shared" si="34"/>
        <v>0</v>
      </c>
      <c r="AD72" s="417">
        <f t="shared" si="34"/>
        <v>0</v>
      </c>
      <c r="AE72" s="417">
        <f t="shared" si="34"/>
        <v>0</v>
      </c>
      <c r="AF72" s="417">
        <f t="shared" si="34"/>
        <v>0</v>
      </c>
      <c r="AG72" s="417">
        <f t="shared" si="34"/>
        <v>-935515.57499020896</v>
      </c>
      <c r="AH72" s="417">
        <f t="shared" si="34"/>
        <v>0</v>
      </c>
      <c r="AI72" s="417">
        <f t="shared" si="34"/>
        <v>0</v>
      </c>
      <c r="AJ72" s="417">
        <f t="shared" si="34"/>
        <v>0</v>
      </c>
      <c r="AK72" s="417">
        <f t="shared" si="34"/>
        <v>0</v>
      </c>
      <c r="AL72" s="417">
        <f t="shared" si="34"/>
        <v>0</v>
      </c>
      <c r="AM72" s="417">
        <f t="shared" si="34"/>
        <v>0</v>
      </c>
      <c r="AN72" s="417">
        <f t="shared" si="34"/>
        <v>0</v>
      </c>
      <c r="AO72" s="417">
        <f t="shared" si="34"/>
        <v>0</v>
      </c>
      <c r="AP72" s="417">
        <f t="shared" si="34"/>
        <v>0</v>
      </c>
      <c r="AQ72" s="417">
        <f t="shared" si="34"/>
        <v>0</v>
      </c>
      <c r="AR72" s="417">
        <f t="shared" si="34"/>
        <v>0</v>
      </c>
    </row>
    <row r="73" spans="1:44" x14ac:dyDescent="0.2">
      <c r="A73" s="380"/>
      <c r="B73" s="380" t="str">
        <f>Inputs!$C$31</f>
        <v>3.1% Discount Factor</v>
      </c>
      <c r="C73" s="52" t="s">
        <v>86</v>
      </c>
      <c r="D73" s="440">
        <f>SUM(F73:AR73)</f>
        <v>-2203162.7546660202</v>
      </c>
      <c r="E73" s="380"/>
      <c r="F73" s="417">
        <f t="shared" ref="F73:AR73" si="35">F62-F41</f>
        <v>0</v>
      </c>
      <c r="G73" s="417">
        <f t="shared" si="35"/>
        <v>0</v>
      </c>
      <c r="H73" s="417">
        <f t="shared" si="35"/>
        <v>0</v>
      </c>
      <c r="I73" s="417">
        <f t="shared" si="35"/>
        <v>0</v>
      </c>
      <c r="J73" s="417">
        <f t="shared" si="35"/>
        <v>0</v>
      </c>
      <c r="K73" s="417">
        <f t="shared" si="35"/>
        <v>0</v>
      </c>
      <c r="L73" s="417">
        <f t="shared" si="35"/>
        <v>0</v>
      </c>
      <c r="M73" s="417">
        <f t="shared" si="35"/>
        <v>0</v>
      </c>
      <c r="N73" s="417">
        <f t="shared" si="35"/>
        <v>0</v>
      </c>
      <c r="O73" s="417">
        <f t="shared" si="35"/>
        <v>272023.33436750417</v>
      </c>
      <c r="P73" s="417">
        <f t="shared" si="35"/>
        <v>0</v>
      </c>
      <c r="Q73" s="417">
        <f t="shared" si="35"/>
        <v>0</v>
      </c>
      <c r="R73" s="417">
        <f t="shared" si="35"/>
        <v>-1143213.0069408489</v>
      </c>
      <c r="S73" s="417">
        <f t="shared" si="35"/>
        <v>0</v>
      </c>
      <c r="T73" s="417">
        <f t="shared" si="35"/>
        <v>0</v>
      </c>
      <c r="U73" s="417">
        <f t="shared" si="35"/>
        <v>0</v>
      </c>
      <c r="V73" s="417">
        <f t="shared" si="35"/>
        <v>0</v>
      </c>
      <c r="W73" s="417">
        <f t="shared" si="35"/>
        <v>-608791.79854811658</v>
      </c>
      <c r="X73" s="417">
        <f t="shared" si="35"/>
        <v>0</v>
      </c>
      <c r="Y73" s="417">
        <f t="shared" si="35"/>
        <v>0</v>
      </c>
      <c r="Z73" s="417">
        <f t="shared" si="35"/>
        <v>0</v>
      </c>
      <c r="AA73" s="417">
        <f t="shared" si="35"/>
        <v>0</v>
      </c>
      <c r="AB73" s="417">
        <f t="shared" si="35"/>
        <v>0</v>
      </c>
      <c r="AC73" s="417">
        <f t="shared" si="35"/>
        <v>0</v>
      </c>
      <c r="AD73" s="417">
        <f t="shared" si="35"/>
        <v>0</v>
      </c>
      <c r="AE73" s="417">
        <f t="shared" si="35"/>
        <v>0</v>
      </c>
      <c r="AF73" s="417">
        <f t="shared" si="35"/>
        <v>0</v>
      </c>
      <c r="AG73" s="417">
        <f t="shared" si="35"/>
        <v>-723181.28354455868</v>
      </c>
      <c r="AH73" s="417">
        <f t="shared" si="35"/>
        <v>0</v>
      </c>
      <c r="AI73" s="417">
        <f t="shared" si="35"/>
        <v>0</v>
      </c>
      <c r="AJ73" s="417">
        <f t="shared" si="35"/>
        <v>0</v>
      </c>
      <c r="AK73" s="417">
        <f t="shared" si="35"/>
        <v>0</v>
      </c>
      <c r="AL73" s="417">
        <f t="shared" si="35"/>
        <v>0</v>
      </c>
      <c r="AM73" s="417">
        <f t="shared" si="35"/>
        <v>0</v>
      </c>
      <c r="AN73" s="417">
        <f t="shared" si="35"/>
        <v>0</v>
      </c>
      <c r="AO73" s="417">
        <f t="shared" si="35"/>
        <v>0</v>
      </c>
      <c r="AP73" s="417">
        <f t="shared" si="35"/>
        <v>0</v>
      </c>
      <c r="AQ73" s="417">
        <f t="shared" si="35"/>
        <v>0</v>
      </c>
      <c r="AR73" s="417">
        <f t="shared" si="35"/>
        <v>0</v>
      </c>
    </row>
    <row r="75" spans="1:44" ht="15" x14ac:dyDescent="0.25">
      <c r="A75" s="2" t="s">
        <v>257</v>
      </c>
      <c r="B75" s="380"/>
      <c r="C75" s="380"/>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c r="AJ75" s="380"/>
      <c r="AK75" s="380"/>
      <c r="AL75" s="380"/>
      <c r="AM75" s="380"/>
      <c r="AN75" s="380"/>
      <c r="AO75" s="380"/>
      <c r="AP75" s="380"/>
      <c r="AQ75" s="380"/>
      <c r="AR75" s="380"/>
    </row>
    <row r="76" spans="1:44" x14ac:dyDescent="0.2">
      <c r="A76" s="380"/>
      <c r="B76" s="380" t="s">
        <v>252</v>
      </c>
      <c r="C76" s="52" t="s">
        <v>86</v>
      </c>
      <c r="D76" s="440">
        <f>SUM(F76:AR76)</f>
        <v>23719333.133346509</v>
      </c>
      <c r="E76" s="380"/>
      <c r="F76" s="440">
        <f>F66+F71</f>
        <v>0</v>
      </c>
      <c r="G76" s="440">
        <f t="shared" ref="G76:AR76" si="36">G66+G71</f>
        <v>0</v>
      </c>
      <c r="H76" s="440">
        <f t="shared" si="36"/>
        <v>0</v>
      </c>
      <c r="I76" s="440">
        <f t="shared" si="36"/>
        <v>0</v>
      </c>
      <c r="J76" s="440">
        <f t="shared" si="36"/>
        <v>0</v>
      </c>
      <c r="K76" s="440">
        <f t="shared" si="36"/>
        <v>0</v>
      </c>
      <c r="L76" s="440">
        <f t="shared" si="36"/>
        <v>2546581.9893188532</v>
      </c>
      <c r="M76" s="440">
        <f t="shared" si="36"/>
        <v>12394464.254622653</v>
      </c>
      <c r="N76" s="440">
        <f t="shared" si="36"/>
        <v>12394464.254622653</v>
      </c>
      <c r="O76" s="440">
        <f t="shared" si="36"/>
        <v>326706.78312498133</v>
      </c>
      <c r="P76" s="440">
        <f t="shared" si="36"/>
        <v>0</v>
      </c>
      <c r="Q76" s="440">
        <f t="shared" si="36"/>
        <v>0</v>
      </c>
      <c r="R76" s="440">
        <f t="shared" si="36"/>
        <v>-1504718.0982784855</v>
      </c>
      <c r="S76" s="440">
        <f t="shared" si="36"/>
        <v>0</v>
      </c>
      <c r="T76" s="440">
        <f t="shared" si="36"/>
        <v>0</v>
      </c>
      <c r="U76" s="440">
        <f t="shared" si="36"/>
        <v>0</v>
      </c>
      <c r="V76" s="440">
        <f t="shared" si="36"/>
        <v>0</v>
      </c>
      <c r="W76" s="440">
        <f t="shared" si="36"/>
        <v>-933447.95178566093</v>
      </c>
      <c r="X76" s="440">
        <f t="shared" si="36"/>
        <v>0</v>
      </c>
      <c r="Y76" s="440">
        <f t="shared" si="36"/>
        <v>0</v>
      </c>
      <c r="Z76" s="440">
        <f t="shared" si="36"/>
        <v>0</v>
      </c>
      <c r="AA76" s="440">
        <f t="shared" si="36"/>
        <v>0</v>
      </c>
      <c r="AB76" s="440">
        <f t="shared" si="36"/>
        <v>0</v>
      </c>
      <c r="AC76" s="440">
        <f t="shared" si="36"/>
        <v>0</v>
      </c>
      <c r="AD76" s="440">
        <f t="shared" si="36"/>
        <v>0</v>
      </c>
      <c r="AE76" s="440">
        <f t="shared" si="36"/>
        <v>0</v>
      </c>
      <c r="AF76" s="440">
        <f t="shared" si="36"/>
        <v>0</v>
      </c>
      <c r="AG76" s="440">
        <f t="shared" si="36"/>
        <v>-1504718.0982784855</v>
      </c>
      <c r="AH76" s="440">
        <f t="shared" si="36"/>
        <v>0</v>
      </c>
      <c r="AI76" s="440">
        <f t="shared" si="36"/>
        <v>0</v>
      </c>
      <c r="AJ76" s="440">
        <f t="shared" si="36"/>
        <v>0</v>
      </c>
      <c r="AK76" s="440">
        <f t="shared" si="36"/>
        <v>0</v>
      </c>
      <c r="AL76" s="440">
        <f t="shared" si="36"/>
        <v>0</v>
      </c>
      <c r="AM76" s="440">
        <f t="shared" si="36"/>
        <v>0</v>
      </c>
      <c r="AN76" s="440">
        <f t="shared" si="36"/>
        <v>0</v>
      </c>
      <c r="AO76" s="440">
        <f t="shared" si="36"/>
        <v>0</v>
      </c>
      <c r="AP76" s="440">
        <f t="shared" si="36"/>
        <v>0</v>
      </c>
      <c r="AQ76" s="440">
        <f t="shared" si="36"/>
        <v>0</v>
      </c>
      <c r="AR76" s="440">
        <f t="shared" si="36"/>
        <v>0</v>
      </c>
    </row>
    <row r="77" spans="1:44" x14ac:dyDescent="0.2">
      <c r="A77" s="380"/>
      <c r="B77" s="380" t="str">
        <f>Inputs!$C$30</f>
        <v>2% Discount Factor</v>
      </c>
      <c r="C77" s="52" t="s">
        <v>86</v>
      </c>
      <c r="D77" s="440">
        <f>SUM(F77:AR77)</f>
        <v>22464391.358711008</v>
      </c>
      <c r="E77" s="380"/>
      <c r="F77" s="440">
        <f t="shared" ref="F77:AR77" si="37">F67+F72</f>
        <v>0</v>
      </c>
      <c r="G77" s="440">
        <f t="shared" si="37"/>
        <v>0</v>
      </c>
      <c r="H77" s="440">
        <f t="shared" si="37"/>
        <v>0</v>
      </c>
      <c r="I77" s="440">
        <f t="shared" si="37"/>
        <v>0</v>
      </c>
      <c r="J77" s="440">
        <f t="shared" si="37"/>
        <v>0</v>
      </c>
      <c r="K77" s="440">
        <f t="shared" si="37"/>
        <v>0</v>
      </c>
      <c r="L77" s="440">
        <f t="shared" si="37"/>
        <v>2399701.0852903989</v>
      </c>
      <c r="M77" s="440">
        <f t="shared" si="37"/>
        <v>11450569.109682268</v>
      </c>
      <c r="N77" s="440">
        <f t="shared" si="37"/>
        <v>11226048.146747321</v>
      </c>
      <c r="O77" s="440">
        <f t="shared" si="37"/>
        <v>290106.27378109412</v>
      </c>
      <c r="P77" s="440">
        <f t="shared" si="37"/>
        <v>0</v>
      </c>
      <c r="Q77" s="440">
        <f t="shared" si="37"/>
        <v>0</v>
      </c>
      <c r="R77" s="440">
        <f t="shared" si="37"/>
        <v>-1259080.7923884152</v>
      </c>
      <c r="S77" s="440">
        <f t="shared" si="37"/>
        <v>0</v>
      </c>
      <c r="T77" s="440">
        <f t="shared" si="37"/>
        <v>0</v>
      </c>
      <c r="U77" s="440">
        <f t="shared" si="37"/>
        <v>0</v>
      </c>
      <c r="V77" s="440">
        <f t="shared" si="37"/>
        <v>0</v>
      </c>
      <c r="W77" s="440">
        <f t="shared" si="37"/>
        <v>-707436.88941144629</v>
      </c>
      <c r="X77" s="440">
        <f t="shared" si="37"/>
        <v>0</v>
      </c>
      <c r="Y77" s="440">
        <f t="shared" si="37"/>
        <v>0</v>
      </c>
      <c r="Z77" s="440">
        <f t="shared" si="37"/>
        <v>0</v>
      </c>
      <c r="AA77" s="440">
        <f t="shared" si="37"/>
        <v>0</v>
      </c>
      <c r="AB77" s="440">
        <f t="shared" si="37"/>
        <v>0</v>
      </c>
      <c r="AC77" s="440">
        <f t="shared" si="37"/>
        <v>0</v>
      </c>
      <c r="AD77" s="440">
        <f t="shared" si="37"/>
        <v>0</v>
      </c>
      <c r="AE77" s="440">
        <f t="shared" si="37"/>
        <v>0</v>
      </c>
      <c r="AF77" s="440">
        <f t="shared" si="37"/>
        <v>0</v>
      </c>
      <c r="AG77" s="440">
        <f t="shared" si="37"/>
        <v>-935515.57499020896</v>
      </c>
      <c r="AH77" s="440">
        <f t="shared" si="37"/>
        <v>0</v>
      </c>
      <c r="AI77" s="440">
        <f t="shared" si="37"/>
        <v>0</v>
      </c>
      <c r="AJ77" s="440">
        <f t="shared" si="37"/>
        <v>0</v>
      </c>
      <c r="AK77" s="440">
        <f t="shared" si="37"/>
        <v>0</v>
      </c>
      <c r="AL77" s="440">
        <f t="shared" si="37"/>
        <v>0</v>
      </c>
      <c r="AM77" s="440">
        <f t="shared" si="37"/>
        <v>0</v>
      </c>
      <c r="AN77" s="440">
        <f t="shared" si="37"/>
        <v>0</v>
      </c>
      <c r="AO77" s="440">
        <f t="shared" si="37"/>
        <v>0</v>
      </c>
      <c r="AP77" s="440">
        <f t="shared" si="37"/>
        <v>0</v>
      </c>
      <c r="AQ77" s="440">
        <f t="shared" si="37"/>
        <v>0</v>
      </c>
      <c r="AR77" s="440">
        <f t="shared" si="37"/>
        <v>0</v>
      </c>
    </row>
    <row r="78" spans="1:44" x14ac:dyDescent="0.2">
      <c r="A78" s="380"/>
      <c r="B78" s="380" t="str">
        <f>Inputs!$C$31</f>
        <v>3.1% Discount Factor</v>
      </c>
      <c r="C78" s="52" t="s">
        <v>86</v>
      </c>
      <c r="D78" s="440">
        <f>SUM(F78:AR78)</f>
        <v>21730027.843962044</v>
      </c>
      <c r="E78" s="380"/>
      <c r="F78" s="440">
        <f t="shared" ref="F78:AR78" si="38">F68+F73</f>
        <v>0</v>
      </c>
      <c r="G78" s="440">
        <f t="shared" si="38"/>
        <v>0</v>
      </c>
      <c r="H78" s="440">
        <f t="shared" si="38"/>
        <v>0</v>
      </c>
      <c r="I78" s="440">
        <f t="shared" si="38"/>
        <v>0</v>
      </c>
      <c r="J78" s="440">
        <f t="shared" si="38"/>
        <v>0</v>
      </c>
      <c r="K78" s="440">
        <f t="shared" si="38"/>
        <v>0</v>
      </c>
      <c r="L78" s="440">
        <f t="shared" si="38"/>
        <v>2323708.6109699891</v>
      </c>
      <c r="M78" s="440">
        <f t="shared" si="38"/>
        <v>10969658.2615832</v>
      </c>
      <c r="N78" s="440">
        <f t="shared" si="38"/>
        <v>10639823.72607488</v>
      </c>
      <c r="O78" s="440">
        <f t="shared" si="38"/>
        <v>272023.33436750417</v>
      </c>
      <c r="P78" s="440">
        <f t="shared" si="38"/>
        <v>0</v>
      </c>
      <c r="Q78" s="440">
        <f t="shared" si="38"/>
        <v>0</v>
      </c>
      <c r="R78" s="440">
        <f t="shared" si="38"/>
        <v>-1143213.0069408489</v>
      </c>
      <c r="S78" s="440">
        <f t="shared" si="38"/>
        <v>0</v>
      </c>
      <c r="T78" s="440">
        <f t="shared" si="38"/>
        <v>0</v>
      </c>
      <c r="U78" s="440">
        <f t="shared" si="38"/>
        <v>0</v>
      </c>
      <c r="V78" s="440">
        <f t="shared" si="38"/>
        <v>0</v>
      </c>
      <c r="W78" s="440">
        <f t="shared" si="38"/>
        <v>-608791.79854811658</v>
      </c>
      <c r="X78" s="440">
        <f t="shared" si="38"/>
        <v>0</v>
      </c>
      <c r="Y78" s="440">
        <f t="shared" si="38"/>
        <v>0</v>
      </c>
      <c r="Z78" s="440">
        <f t="shared" si="38"/>
        <v>0</v>
      </c>
      <c r="AA78" s="440">
        <f t="shared" si="38"/>
        <v>0</v>
      </c>
      <c r="AB78" s="440">
        <f t="shared" si="38"/>
        <v>0</v>
      </c>
      <c r="AC78" s="440">
        <f t="shared" si="38"/>
        <v>0</v>
      </c>
      <c r="AD78" s="440">
        <f t="shared" si="38"/>
        <v>0</v>
      </c>
      <c r="AE78" s="440">
        <f t="shared" si="38"/>
        <v>0</v>
      </c>
      <c r="AF78" s="440">
        <f t="shared" si="38"/>
        <v>0</v>
      </c>
      <c r="AG78" s="440">
        <f t="shared" si="38"/>
        <v>-723181.28354455868</v>
      </c>
      <c r="AH78" s="440">
        <f t="shared" si="38"/>
        <v>0</v>
      </c>
      <c r="AI78" s="440">
        <f t="shared" si="38"/>
        <v>0</v>
      </c>
      <c r="AJ78" s="440">
        <f t="shared" si="38"/>
        <v>0</v>
      </c>
      <c r="AK78" s="440">
        <f t="shared" si="38"/>
        <v>0</v>
      </c>
      <c r="AL78" s="440">
        <f t="shared" si="38"/>
        <v>0</v>
      </c>
      <c r="AM78" s="440">
        <f t="shared" si="38"/>
        <v>0</v>
      </c>
      <c r="AN78" s="440">
        <f t="shared" si="38"/>
        <v>0</v>
      </c>
      <c r="AO78" s="440">
        <f t="shared" si="38"/>
        <v>0</v>
      </c>
      <c r="AP78" s="440">
        <f t="shared" si="38"/>
        <v>0</v>
      </c>
      <c r="AQ78" s="440">
        <f t="shared" si="38"/>
        <v>0</v>
      </c>
      <c r="AR78" s="440">
        <f t="shared" si="38"/>
        <v>0</v>
      </c>
    </row>
  </sheetData>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560B5-B023-4DA3-B720-D819238E8F88}">
  <sheetPr>
    <tabColor theme="9"/>
  </sheetPr>
  <dimension ref="A1:AS85"/>
  <sheetViews>
    <sheetView workbookViewId="0">
      <pane xSplit="4" ySplit="12" topLeftCell="F13" activePane="bottomRight" state="frozen"/>
      <selection pane="topRight" activeCell="E1" sqref="E1"/>
      <selection pane="bottomLeft" activeCell="A12" sqref="A12"/>
      <selection pane="bottomRight" activeCell="A3" sqref="A3:A4"/>
    </sheetView>
  </sheetViews>
  <sheetFormatPr defaultColWidth="0" defaultRowHeight="14.25" x14ac:dyDescent="0.2"/>
  <cols>
    <col min="1" max="1" width="10.28515625" style="1" customWidth="1"/>
    <col min="2" max="2" width="46.7109375" style="1" bestFit="1" customWidth="1"/>
    <col min="3" max="3" width="15.42578125" style="1" bestFit="1" customWidth="1"/>
    <col min="4" max="4" width="17" style="1" bestFit="1" customWidth="1"/>
    <col min="5" max="5" width="1.5703125" style="1" customWidth="1"/>
    <col min="6" max="44" width="14.42578125" style="1" customWidth="1"/>
    <col min="45" max="45" width="9.140625" style="1" customWidth="1"/>
    <col min="46" max="16384" width="9.140625" style="1" hidden="1"/>
  </cols>
  <sheetData>
    <row r="1" spans="1:44" ht="19.5" x14ac:dyDescent="0.3">
      <c r="A1" s="3" t="str">
        <f>Summary!$A$1</f>
        <v>Multimodal Improvements to Safely Connect Tulsa at US-75 and 81st Street Interchange</v>
      </c>
      <c r="B1" s="380"/>
      <c r="C1" s="380"/>
      <c r="D1" s="380"/>
      <c r="E1" s="380"/>
      <c r="F1" s="380"/>
      <c r="G1" s="380"/>
      <c r="H1" s="380"/>
      <c r="I1" s="380"/>
      <c r="J1" s="380"/>
      <c r="K1" s="380"/>
      <c r="L1" s="380"/>
      <c r="M1" s="380"/>
      <c r="N1" s="380"/>
      <c r="O1" s="380"/>
      <c r="P1" s="380"/>
      <c r="Q1" s="380"/>
      <c r="R1" s="380"/>
      <c r="S1" s="380"/>
      <c r="T1" s="380"/>
      <c r="U1" s="380"/>
      <c r="V1" s="380"/>
      <c r="W1" s="380"/>
      <c r="X1" s="380"/>
      <c r="Y1" s="380"/>
      <c r="Z1" s="380"/>
      <c r="AA1" s="380"/>
      <c r="AB1" s="380"/>
      <c r="AC1" s="380"/>
      <c r="AD1" s="380"/>
      <c r="AE1" s="380"/>
      <c r="AF1" s="380"/>
      <c r="AG1" s="380"/>
      <c r="AH1" s="380"/>
      <c r="AI1" s="380"/>
      <c r="AJ1" s="380"/>
      <c r="AK1" s="380"/>
      <c r="AL1" s="380"/>
      <c r="AM1" s="380"/>
      <c r="AN1" s="380"/>
      <c r="AO1" s="380"/>
      <c r="AP1" s="380"/>
      <c r="AQ1" s="380"/>
      <c r="AR1" s="380"/>
    </row>
    <row r="2" spans="1:44" ht="19.5" x14ac:dyDescent="0.3">
      <c r="A2" s="3" t="s">
        <v>258</v>
      </c>
      <c r="B2" s="380"/>
      <c r="C2" s="7"/>
      <c r="D2" s="380"/>
      <c r="E2" s="380"/>
      <c r="F2" s="380"/>
      <c r="G2" s="380"/>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row>
    <row r="3" spans="1:44" x14ac:dyDescent="0.2">
      <c r="A3" s="381">
        <f ca="1">Summary!A3</f>
        <v>45687</v>
      </c>
      <c r="B3" s="380"/>
      <c r="C3" s="358" t="s">
        <v>259</v>
      </c>
      <c r="D3" s="359">
        <f>Summary!$E$9</f>
        <v>1.8138898580989069</v>
      </c>
      <c r="E3" s="380"/>
      <c r="F3" s="380"/>
      <c r="G3" s="380"/>
      <c r="H3" s="380"/>
      <c r="I3" s="380"/>
      <c r="J3" s="380"/>
      <c r="K3" s="380"/>
      <c r="L3" s="380"/>
      <c r="M3" s="380"/>
      <c r="N3" s="380"/>
      <c r="O3" s="380"/>
      <c r="P3" s="380"/>
      <c r="Q3" s="380"/>
      <c r="R3" s="380"/>
      <c r="S3" s="380"/>
      <c r="T3" s="380"/>
      <c r="U3" s="380"/>
      <c r="V3" s="380"/>
      <c r="W3" s="380"/>
      <c r="X3" s="380"/>
      <c r="Y3" s="380"/>
      <c r="Z3" s="380"/>
      <c r="AA3" s="380"/>
      <c r="AB3" s="380"/>
      <c r="AC3" s="380"/>
      <c r="AD3" s="380"/>
      <c r="AE3" s="380"/>
      <c r="AF3" s="380"/>
      <c r="AG3" s="380"/>
      <c r="AH3" s="380"/>
      <c r="AI3" s="380"/>
      <c r="AJ3" s="380"/>
      <c r="AK3" s="380"/>
      <c r="AL3" s="380"/>
      <c r="AM3" s="380"/>
      <c r="AN3" s="380"/>
      <c r="AO3" s="380"/>
      <c r="AP3" s="380"/>
      <c r="AQ3" s="380"/>
      <c r="AR3" s="380"/>
    </row>
    <row r="4" spans="1:44" x14ac:dyDescent="0.2">
      <c r="A4" s="33" t="str">
        <f>Summary!A4</f>
        <v>All $ values 2023, unless otherwise noted</v>
      </c>
      <c r="B4" s="380"/>
      <c r="C4" s="7"/>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c r="AM4" s="380"/>
      <c r="AN4" s="380"/>
      <c r="AO4" s="380"/>
      <c r="AP4" s="380"/>
      <c r="AQ4" s="380"/>
      <c r="AR4" s="380"/>
    </row>
    <row r="5" spans="1:44" x14ac:dyDescent="0.2">
      <c r="A5" s="380"/>
      <c r="B5" s="382"/>
      <c r="C5" s="7"/>
      <c r="D5" s="380"/>
      <c r="E5" s="380"/>
      <c r="F5" s="380"/>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0"/>
      <c r="AO5" s="380"/>
      <c r="AP5" s="380"/>
      <c r="AQ5" s="380"/>
      <c r="AR5" s="380"/>
    </row>
    <row r="6" spans="1:44" x14ac:dyDescent="0.2">
      <c r="A6" s="380"/>
      <c r="B6" s="380"/>
      <c r="C6" s="380" t="s">
        <v>48</v>
      </c>
      <c r="D6" s="380" t="s">
        <v>49</v>
      </c>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row>
    <row r="7" spans="1:44" s="4" customFormat="1" x14ac:dyDescent="0.2">
      <c r="A7" s="450" t="s">
        <v>235</v>
      </c>
      <c r="B7" s="450"/>
      <c r="C7" s="182" t="s">
        <v>235</v>
      </c>
      <c r="D7" s="450"/>
      <c r="E7" s="450"/>
      <c r="F7" s="450">
        <f>Inputs!$E$12</f>
        <v>2018</v>
      </c>
      <c r="G7" s="450">
        <f>F7+1</f>
        <v>2019</v>
      </c>
      <c r="H7" s="450">
        <f t="shared" ref="H7:W8" si="0">G7+1</f>
        <v>2020</v>
      </c>
      <c r="I7" s="450">
        <f t="shared" si="0"/>
        <v>2021</v>
      </c>
      <c r="J7" s="450">
        <f t="shared" si="0"/>
        <v>2022</v>
      </c>
      <c r="K7" s="450">
        <f t="shared" si="0"/>
        <v>2023</v>
      </c>
      <c r="L7" s="450">
        <f t="shared" si="0"/>
        <v>2024</v>
      </c>
      <c r="M7" s="450">
        <f t="shared" si="0"/>
        <v>2025</v>
      </c>
      <c r="N7" s="450">
        <f t="shared" si="0"/>
        <v>2026</v>
      </c>
      <c r="O7" s="450">
        <f t="shared" si="0"/>
        <v>2027</v>
      </c>
      <c r="P7" s="450">
        <f t="shared" si="0"/>
        <v>2028</v>
      </c>
      <c r="Q7" s="450">
        <f t="shared" si="0"/>
        <v>2029</v>
      </c>
      <c r="R7" s="450">
        <f t="shared" si="0"/>
        <v>2030</v>
      </c>
      <c r="S7" s="450">
        <f t="shared" si="0"/>
        <v>2031</v>
      </c>
      <c r="T7" s="450">
        <f t="shared" si="0"/>
        <v>2032</v>
      </c>
      <c r="U7" s="450">
        <f t="shared" si="0"/>
        <v>2033</v>
      </c>
      <c r="V7" s="450">
        <f t="shared" si="0"/>
        <v>2034</v>
      </c>
      <c r="W7" s="450">
        <f t="shared" si="0"/>
        <v>2035</v>
      </c>
      <c r="X7" s="450">
        <f t="shared" ref="X7:AM8" si="1">W7+1</f>
        <v>2036</v>
      </c>
      <c r="Y7" s="450">
        <f t="shared" si="1"/>
        <v>2037</v>
      </c>
      <c r="Z7" s="450">
        <f t="shared" si="1"/>
        <v>2038</v>
      </c>
      <c r="AA7" s="450">
        <f t="shared" si="1"/>
        <v>2039</v>
      </c>
      <c r="AB7" s="450">
        <f t="shared" si="1"/>
        <v>2040</v>
      </c>
      <c r="AC7" s="450">
        <f t="shared" si="1"/>
        <v>2041</v>
      </c>
      <c r="AD7" s="450">
        <f t="shared" si="1"/>
        <v>2042</v>
      </c>
      <c r="AE7" s="450">
        <f t="shared" si="1"/>
        <v>2043</v>
      </c>
      <c r="AF7" s="450">
        <f t="shared" si="1"/>
        <v>2044</v>
      </c>
      <c r="AG7" s="450">
        <f t="shared" si="1"/>
        <v>2045</v>
      </c>
      <c r="AH7" s="450">
        <f t="shared" si="1"/>
        <v>2046</v>
      </c>
      <c r="AI7" s="450">
        <f t="shared" si="1"/>
        <v>2047</v>
      </c>
      <c r="AJ7" s="450">
        <f t="shared" si="1"/>
        <v>2048</v>
      </c>
      <c r="AK7" s="450">
        <f t="shared" si="1"/>
        <v>2049</v>
      </c>
      <c r="AL7" s="450">
        <f t="shared" si="1"/>
        <v>2050</v>
      </c>
      <c r="AM7" s="450">
        <f t="shared" si="1"/>
        <v>2051</v>
      </c>
      <c r="AN7" s="450">
        <f t="shared" ref="AN7:AR8" si="2">AM7+1</f>
        <v>2052</v>
      </c>
      <c r="AO7" s="450">
        <f t="shared" si="2"/>
        <v>2053</v>
      </c>
      <c r="AP7" s="450">
        <f t="shared" si="2"/>
        <v>2054</v>
      </c>
      <c r="AQ7" s="450">
        <f t="shared" si="2"/>
        <v>2055</v>
      </c>
      <c r="AR7" s="450">
        <f t="shared" si="2"/>
        <v>2056</v>
      </c>
    </row>
    <row r="8" spans="1:44" x14ac:dyDescent="0.2">
      <c r="A8" s="380"/>
      <c r="B8" s="380" t="s">
        <v>236</v>
      </c>
      <c r="C8" s="11" t="s">
        <v>54</v>
      </c>
      <c r="D8" s="380"/>
      <c r="E8" s="380"/>
      <c r="F8" s="380">
        <f>D8+1</f>
        <v>1</v>
      </c>
      <c r="G8" s="380">
        <f t="shared" ref="G8" si="3">F8+1</f>
        <v>2</v>
      </c>
      <c r="H8" s="380">
        <f t="shared" si="0"/>
        <v>3</v>
      </c>
      <c r="I8" s="380">
        <f t="shared" si="0"/>
        <v>4</v>
      </c>
      <c r="J8" s="380">
        <f t="shared" si="0"/>
        <v>5</v>
      </c>
      <c r="K8" s="380">
        <f t="shared" si="0"/>
        <v>6</v>
      </c>
      <c r="L8" s="380">
        <f t="shared" si="0"/>
        <v>7</v>
      </c>
      <c r="M8" s="380">
        <f t="shared" si="0"/>
        <v>8</v>
      </c>
      <c r="N8" s="380">
        <f t="shared" si="0"/>
        <v>9</v>
      </c>
      <c r="O8" s="380">
        <f t="shared" si="0"/>
        <v>10</v>
      </c>
      <c r="P8" s="380">
        <f t="shared" si="0"/>
        <v>11</v>
      </c>
      <c r="Q8" s="380">
        <f t="shared" si="0"/>
        <v>12</v>
      </c>
      <c r="R8" s="380">
        <f t="shared" si="0"/>
        <v>13</v>
      </c>
      <c r="S8" s="380">
        <f t="shared" si="0"/>
        <v>14</v>
      </c>
      <c r="T8" s="380">
        <f t="shared" si="0"/>
        <v>15</v>
      </c>
      <c r="U8" s="380">
        <f t="shared" si="0"/>
        <v>16</v>
      </c>
      <c r="V8" s="380">
        <f t="shared" si="0"/>
        <v>17</v>
      </c>
      <c r="W8" s="380">
        <f t="shared" si="0"/>
        <v>18</v>
      </c>
      <c r="X8" s="380">
        <f t="shared" si="1"/>
        <v>19</v>
      </c>
      <c r="Y8" s="380">
        <f t="shared" si="1"/>
        <v>20</v>
      </c>
      <c r="Z8" s="380">
        <f t="shared" si="1"/>
        <v>21</v>
      </c>
      <c r="AA8" s="380">
        <f t="shared" si="1"/>
        <v>22</v>
      </c>
      <c r="AB8" s="380">
        <f t="shared" si="1"/>
        <v>23</v>
      </c>
      <c r="AC8" s="380">
        <f t="shared" si="1"/>
        <v>24</v>
      </c>
      <c r="AD8" s="380">
        <f t="shared" si="1"/>
        <v>25</v>
      </c>
      <c r="AE8" s="380">
        <f t="shared" si="1"/>
        <v>26</v>
      </c>
      <c r="AF8" s="380">
        <f t="shared" si="1"/>
        <v>27</v>
      </c>
      <c r="AG8" s="380">
        <f t="shared" si="1"/>
        <v>28</v>
      </c>
      <c r="AH8" s="380">
        <f t="shared" si="1"/>
        <v>29</v>
      </c>
      <c r="AI8" s="380">
        <f t="shared" si="1"/>
        <v>30</v>
      </c>
      <c r="AJ8" s="380">
        <f t="shared" si="1"/>
        <v>31</v>
      </c>
      <c r="AK8" s="380">
        <f t="shared" si="1"/>
        <v>32</v>
      </c>
      <c r="AL8" s="380">
        <f t="shared" si="1"/>
        <v>33</v>
      </c>
      <c r="AM8" s="380">
        <f t="shared" si="1"/>
        <v>34</v>
      </c>
      <c r="AN8" s="380">
        <f t="shared" si="2"/>
        <v>35</v>
      </c>
      <c r="AO8" s="380">
        <f t="shared" si="2"/>
        <v>36</v>
      </c>
      <c r="AP8" s="380">
        <f t="shared" si="2"/>
        <v>37</v>
      </c>
      <c r="AQ8" s="380">
        <f t="shared" si="2"/>
        <v>38</v>
      </c>
      <c r="AR8" s="380">
        <f t="shared" si="2"/>
        <v>39</v>
      </c>
    </row>
    <row r="9" spans="1:44" x14ac:dyDescent="0.2">
      <c r="A9" s="380"/>
      <c r="B9" s="380" t="s">
        <v>237</v>
      </c>
      <c r="C9" s="11" t="s">
        <v>238</v>
      </c>
      <c r="D9" s="380"/>
      <c r="E9" s="380"/>
      <c r="F9" s="380">
        <f>IF(F7=Inputs!$E$13,1,0)</f>
        <v>0</v>
      </c>
      <c r="G9" s="380">
        <f>IF(G7=Inputs!$E$13,1,0)</f>
        <v>0</v>
      </c>
      <c r="H9" s="380">
        <f>IF(H7=Inputs!$E$13,1,0)</f>
        <v>0</v>
      </c>
      <c r="I9" s="380">
        <f>IF(I7=Inputs!$E$13,1,0)</f>
        <v>0</v>
      </c>
      <c r="J9" s="380">
        <f>IF(J7=Inputs!$E$13,1,0)</f>
        <v>0</v>
      </c>
      <c r="K9" s="380">
        <f>IF(K7=Inputs!$E$13,1,0)</f>
        <v>1</v>
      </c>
      <c r="L9" s="380">
        <f>IF(L7=Inputs!$E$13,1,0)</f>
        <v>0</v>
      </c>
      <c r="M9" s="380">
        <f>IF(M7=Inputs!$E$13,1,0)</f>
        <v>0</v>
      </c>
      <c r="N9" s="380">
        <f>IF(N7=Inputs!$E$13,1,0)</f>
        <v>0</v>
      </c>
      <c r="O9" s="380">
        <f>IF(O7=Inputs!$E$13,1,0)</f>
        <v>0</v>
      </c>
      <c r="P9" s="380">
        <f>IF(P7=Inputs!$E$13,1,0)</f>
        <v>0</v>
      </c>
      <c r="Q9" s="380">
        <f>IF(Q7=Inputs!$E$13,1,0)</f>
        <v>0</v>
      </c>
      <c r="R9" s="380">
        <f>IF(R7=Inputs!$E$13,1,0)</f>
        <v>0</v>
      </c>
      <c r="S9" s="380">
        <f>IF(S7=Inputs!$E$13,1,0)</f>
        <v>0</v>
      </c>
      <c r="T9" s="380">
        <f>IF(T7=Inputs!$E$13,1,0)</f>
        <v>0</v>
      </c>
      <c r="U9" s="380">
        <f>IF(U7=Inputs!$E$13,1,0)</f>
        <v>0</v>
      </c>
      <c r="V9" s="380">
        <f>IF(V7=Inputs!$E$13,1,0)</f>
        <v>0</v>
      </c>
      <c r="W9" s="380">
        <f>IF(W7=Inputs!$E$13,1,0)</f>
        <v>0</v>
      </c>
      <c r="X9" s="380">
        <f>IF(X7=Inputs!$E$13,1,0)</f>
        <v>0</v>
      </c>
      <c r="Y9" s="380">
        <f>IF(Y7=Inputs!$E$13,1,0)</f>
        <v>0</v>
      </c>
      <c r="Z9" s="380">
        <f>IF(Z7=Inputs!$E$13,1,0)</f>
        <v>0</v>
      </c>
      <c r="AA9" s="380">
        <f>IF(AA7=Inputs!$E$13,1,0)</f>
        <v>0</v>
      </c>
      <c r="AB9" s="380">
        <f>IF(AB7=Inputs!$E$13,1,0)</f>
        <v>0</v>
      </c>
      <c r="AC9" s="380">
        <f>IF(AC7=Inputs!$E$13,1,0)</f>
        <v>0</v>
      </c>
      <c r="AD9" s="380">
        <f>IF(AD7=Inputs!$E$13,1,0)</f>
        <v>0</v>
      </c>
      <c r="AE9" s="380">
        <f>IF(AE7=Inputs!$E$13,1,0)</f>
        <v>0</v>
      </c>
      <c r="AF9" s="380">
        <f>IF(AF7=Inputs!$E$13,1,0)</f>
        <v>0</v>
      </c>
      <c r="AG9" s="380">
        <f>IF(AG7=Inputs!$E$13,1,0)</f>
        <v>0</v>
      </c>
      <c r="AH9" s="380">
        <f>IF(AH7=Inputs!$E$13,1,0)</f>
        <v>0</v>
      </c>
      <c r="AI9" s="380">
        <f>IF(AI7=Inputs!$E$13,1,0)</f>
        <v>0</v>
      </c>
      <c r="AJ9" s="380">
        <f>IF(AJ7=Inputs!$E$13,1,0)</f>
        <v>0</v>
      </c>
      <c r="AK9" s="380">
        <f>IF(AK7=Inputs!$E$13,1,0)</f>
        <v>0</v>
      </c>
      <c r="AL9" s="380">
        <f>IF(AL7=Inputs!$E$13,1,0)</f>
        <v>0</v>
      </c>
      <c r="AM9" s="380">
        <f>IF(AM7=Inputs!$E$13,1,0)</f>
        <v>0</v>
      </c>
      <c r="AN9" s="380">
        <f>IF(AN7=Inputs!$E$13,1,0)</f>
        <v>0</v>
      </c>
      <c r="AO9" s="380">
        <f>IF(AO7=Inputs!$E$13,1,0)</f>
        <v>0</v>
      </c>
      <c r="AP9" s="380">
        <f>IF(AP7=Inputs!$E$13,1,0)</f>
        <v>0</v>
      </c>
      <c r="AQ9" s="380">
        <f>IF(AQ7=Inputs!$E$13,1,0)</f>
        <v>0</v>
      </c>
      <c r="AR9" s="380">
        <f>IF(AR7=Inputs!$E$13,1,0)</f>
        <v>0</v>
      </c>
    </row>
    <row r="10" spans="1:44" x14ac:dyDescent="0.2">
      <c r="A10" s="380"/>
      <c r="B10" s="380" t="s">
        <v>239</v>
      </c>
      <c r="C10" s="11" t="s">
        <v>61</v>
      </c>
      <c r="D10" s="380"/>
      <c r="E10" s="380"/>
      <c r="F10" s="428">
        <f>F7-Inputs!$E$18</f>
        <v>-5</v>
      </c>
      <c r="G10" s="428">
        <f>G7-Inputs!$E$18</f>
        <v>-4</v>
      </c>
      <c r="H10" s="428">
        <f>H7-Inputs!$E$18</f>
        <v>-3</v>
      </c>
      <c r="I10" s="428">
        <f>I7-Inputs!$E$18</f>
        <v>-2</v>
      </c>
      <c r="J10" s="428">
        <f>J7-Inputs!$E$18</f>
        <v>-1</v>
      </c>
      <c r="K10" s="428">
        <f>K7-Inputs!$E$18</f>
        <v>0</v>
      </c>
      <c r="L10" s="428">
        <f>L7-Inputs!$E$18</f>
        <v>1</v>
      </c>
      <c r="M10" s="428">
        <f>M7-Inputs!$E$18</f>
        <v>2</v>
      </c>
      <c r="N10" s="428">
        <f>N7-Inputs!$E$18</f>
        <v>3</v>
      </c>
      <c r="O10" s="428">
        <f>O7-Inputs!$E$18</f>
        <v>4</v>
      </c>
      <c r="P10" s="428">
        <f>P7-Inputs!$E$18</f>
        <v>5</v>
      </c>
      <c r="Q10" s="428">
        <f>Q7-Inputs!$E$18</f>
        <v>6</v>
      </c>
      <c r="R10" s="428">
        <f>R7-Inputs!$E$18</f>
        <v>7</v>
      </c>
      <c r="S10" s="428">
        <f>S7-Inputs!$E$18</f>
        <v>8</v>
      </c>
      <c r="T10" s="428">
        <f>T7-Inputs!$E$18</f>
        <v>9</v>
      </c>
      <c r="U10" s="428">
        <f>U7-Inputs!$E$18</f>
        <v>10</v>
      </c>
      <c r="V10" s="428">
        <f>V7-Inputs!$E$18</f>
        <v>11</v>
      </c>
      <c r="W10" s="428">
        <f>W7-Inputs!$E$18</f>
        <v>12</v>
      </c>
      <c r="X10" s="428">
        <f>X7-Inputs!$E$18</f>
        <v>13</v>
      </c>
      <c r="Y10" s="428">
        <f>Y7-Inputs!$E$18</f>
        <v>14</v>
      </c>
      <c r="Z10" s="428">
        <f>Z7-Inputs!$E$18</f>
        <v>15</v>
      </c>
      <c r="AA10" s="428">
        <f>AA7-Inputs!$E$18</f>
        <v>16</v>
      </c>
      <c r="AB10" s="428">
        <f>AB7-Inputs!$E$18</f>
        <v>17</v>
      </c>
      <c r="AC10" s="428">
        <f>AC7-Inputs!$E$18</f>
        <v>18</v>
      </c>
      <c r="AD10" s="428">
        <f>AD7-Inputs!$E$18</f>
        <v>19</v>
      </c>
      <c r="AE10" s="428">
        <f>AE7-Inputs!$E$18</f>
        <v>20</v>
      </c>
      <c r="AF10" s="428">
        <f>AF7-Inputs!$E$18</f>
        <v>21</v>
      </c>
      <c r="AG10" s="428">
        <f>AG7-Inputs!$E$18</f>
        <v>22</v>
      </c>
      <c r="AH10" s="428">
        <f>AH7-Inputs!$E$18</f>
        <v>23</v>
      </c>
      <c r="AI10" s="428">
        <f>AI7-Inputs!$E$18</f>
        <v>24</v>
      </c>
      <c r="AJ10" s="428">
        <f>AJ7-Inputs!$E$18</f>
        <v>25</v>
      </c>
      <c r="AK10" s="428">
        <f>AK7-Inputs!$E$18</f>
        <v>26</v>
      </c>
      <c r="AL10" s="428">
        <f>AL7-Inputs!$E$18</f>
        <v>27</v>
      </c>
      <c r="AM10" s="428">
        <f>AM7-Inputs!$E$18</f>
        <v>28</v>
      </c>
      <c r="AN10" s="428">
        <f>AN7-Inputs!$E$18</f>
        <v>29</v>
      </c>
      <c r="AO10" s="428">
        <f>AO7-Inputs!$E$18</f>
        <v>30</v>
      </c>
      <c r="AP10" s="428">
        <f>AP7-Inputs!$E$18</f>
        <v>31</v>
      </c>
      <c r="AQ10" s="428">
        <f>AQ7-Inputs!$E$18</f>
        <v>32</v>
      </c>
      <c r="AR10" s="428">
        <f>AR7-Inputs!$E$18</f>
        <v>33</v>
      </c>
    </row>
    <row r="11" spans="1:44" x14ac:dyDescent="0.2">
      <c r="A11" s="380"/>
      <c r="B11" s="380" t="s">
        <v>240</v>
      </c>
      <c r="C11" s="11" t="s">
        <v>238</v>
      </c>
      <c r="D11" s="380"/>
      <c r="E11" s="380"/>
      <c r="F11" s="380">
        <f>IF(AND(F7&gt;=Inputs!$E$17,F7&lt;Inputs!$E$26),1,0)</f>
        <v>0</v>
      </c>
      <c r="G11" s="380">
        <f>IF(AND(G7&gt;=Inputs!$E$17,G7&lt;Inputs!$E$26),1,0)</f>
        <v>0</v>
      </c>
      <c r="H11" s="380">
        <f>IF(AND(H7&gt;=Inputs!$E$17,H7&lt;Inputs!$E$26),1,0)</f>
        <v>0</v>
      </c>
      <c r="I11" s="380">
        <f>IF(AND(I7&gt;=Inputs!$E$17,I7&lt;Inputs!$E$26),1,0)</f>
        <v>0</v>
      </c>
      <c r="J11" s="380">
        <f>IF(AND(J7&gt;=Inputs!$E$17,J7&lt;Inputs!$E$26),1,0)</f>
        <v>0</v>
      </c>
      <c r="K11" s="380">
        <f>IF(AND(K7&gt;=Inputs!$E$17,K7&lt;Inputs!$E$26),1,0)</f>
        <v>0</v>
      </c>
      <c r="L11" s="380">
        <f>IF(AND(L7&gt;=Inputs!$E$17,L7&lt;Inputs!$E$26),1,0)</f>
        <v>0</v>
      </c>
      <c r="M11" s="380">
        <f>IF(AND(M7&gt;=Inputs!$E$17,M7&lt;Inputs!$E$26),1,0)</f>
        <v>0</v>
      </c>
      <c r="N11" s="380">
        <f>IF(AND(N7&gt;=Inputs!$E$17,N7&lt;Inputs!$E$26),1,0)</f>
        <v>0</v>
      </c>
      <c r="O11" s="380">
        <f>IF(AND(O7&gt;=Inputs!$E$17,O7&lt;Inputs!$E$26),1,0)</f>
        <v>1</v>
      </c>
      <c r="P11" s="380">
        <f>IF(AND(P7&gt;=Inputs!$E$17,P7&lt;Inputs!$E$26),1,0)</f>
        <v>1</v>
      </c>
      <c r="Q11" s="380">
        <f>IF(AND(Q7&gt;=Inputs!$E$17,Q7&lt;Inputs!$E$26),1,0)</f>
        <v>1</v>
      </c>
      <c r="R11" s="380">
        <f>IF(AND(R7&gt;=Inputs!$E$17,R7&lt;Inputs!$E$26),1,0)</f>
        <v>1</v>
      </c>
      <c r="S11" s="380">
        <f>IF(AND(S7&gt;=Inputs!$E$17,S7&lt;Inputs!$E$26),1,0)</f>
        <v>1</v>
      </c>
      <c r="T11" s="380">
        <f>IF(AND(T7&gt;=Inputs!$E$17,T7&lt;Inputs!$E$26),1,0)</f>
        <v>1</v>
      </c>
      <c r="U11" s="380">
        <f>IF(AND(U7&gt;=Inputs!$E$17,U7&lt;Inputs!$E$26),1,0)</f>
        <v>1</v>
      </c>
      <c r="V11" s="380">
        <f>IF(AND(V7&gt;=Inputs!$E$17,V7&lt;Inputs!$E$26),1,0)</f>
        <v>1</v>
      </c>
      <c r="W11" s="380">
        <f>IF(AND(W7&gt;=Inputs!$E$17,W7&lt;Inputs!$E$26),1,0)</f>
        <v>1</v>
      </c>
      <c r="X11" s="380">
        <f>IF(AND(X7&gt;=Inputs!$E$17,X7&lt;Inputs!$E$26),1,0)</f>
        <v>1</v>
      </c>
      <c r="Y11" s="380">
        <f>IF(AND(Y7&gt;=Inputs!$E$17,Y7&lt;Inputs!$E$26),1,0)</f>
        <v>1</v>
      </c>
      <c r="Z11" s="380">
        <f>IF(AND(Z7&gt;=Inputs!$E$17,Z7&lt;Inputs!$E$26),1,0)</f>
        <v>1</v>
      </c>
      <c r="AA11" s="380">
        <f>IF(AND(AA7&gt;=Inputs!$E$17,AA7&lt;Inputs!$E$26),1,0)</f>
        <v>1</v>
      </c>
      <c r="AB11" s="380">
        <f>IF(AND(AB7&gt;=Inputs!$E$17,AB7&lt;Inputs!$E$26),1,0)</f>
        <v>1</v>
      </c>
      <c r="AC11" s="380">
        <f>IF(AND(AC7&gt;=Inputs!$E$17,AC7&lt;Inputs!$E$26),1,0)</f>
        <v>1</v>
      </c>
      <c r="AD11" s="380">
        <f>IF(AND(AD7&gt;=Inputs!$E$17,AD7&lt;Inputs!$E$26),1,0)</f>
        <v>1</v>
      </c>
      <c r="AE11" s="380">
        <f>IF(AND(AE7&gt;=Inputs!$E$17,AE7&lt;Inputs!$E$26),1,0)</f>
        <v>1</v>
      </c>
      <c r="AF11" s="380">
        <f>IF(AND(AF7&gt;=Inputs!$E$17,AF7&lt;Inputs!$E$26),1,0)</f>
        <v>1</v>
      </c>
      <c r="AG11" s="380">
        <f>IF(AND(AG7&gt;=Inputs!$E$17,AG7&lt;Inputs!$E$26),1,0)</f>
        <v>1</v>
      </c>
      <c r="AH11" s="380">
        <f>IF(AND(AH7&gt;=Inputs!$E$17,AH7&lt;Inputs!$E$26),1,0)</f>
        <v>1</v>
      </c>
      <c r="AI11" s="380">
        <f>IF(AND(AI7&gt;=Inputs!$E$17,AI7&lt;Inputs!$E$26),1,0)</f>
        <v>0</v>
      </c>
      <c r="AJ11" s="380">
        <f>IF(AND(AJ7&gt;=Inputs!$E$17,AJ7&lt;Inputs!$E$26),1,0)</f>
        <v>0</v>
      </c>
      <c r="AK11" s="380">
        <f>IF(AND(AK7&gt;=Inputs!$E$17,AK7&lt;Inputs!$E$26),1,0)</f>
        <v>0</v>
      </c>
      <c r="AL11" s="380">
        <f>IF(AND(AL7&gt;=Inputs!$E$17,AL7&lt;Inputs!$E$26),1,0)</f>
        <v>0</v>
      </c>
      <c r="AM11" s="380">
        <f>IF(AND(AM7&gt;=Inputs!$E$17,AM7&lt;Inputs!$E$26),1,0)</f>
        <v>0</v>
      </c>
      <c r="AN11" s="380">
        <f>IF(AND(AN7&gt;=Inputs!$E$17,AN7&lt;Inputs!$E$26),1,0)</f>
        <v>0</v>
      </c>
      <c r="AO11" s="380">
        <f>IF(AND(AO7&gt;=Inputs!$E$17,AO7&lt;Inputs!$E$26),1,0)</f>
        <v>0</v>
      </c>
      <c r="AP11" s="380">
        <f>IF(AND(AP7&gt;=Inputs!$E$17,AP7&lt;Inputs!$E$26),1,0)</f>
        <v>0</v>
      </c>
      <c r="AQ11" s="380">
        <f>IF(AND(AQ7&gt;=Inputs!$E$17,AQ7&lt;Inputs!$E$26),1,0)</f>
        <v>0</v>
      </c>
      <c r="AR11" s="380">
        <f>IF(AND(AR7&gt;=Inputs!$E$17,AR7&lt;Inputs!$E$26),1,0)</f>
        <v>0</v>
      </c>
    </row>
    <row r="12" spans="1:44" x14ac:dyDescent="0.2">
      <c r="A12" s="380"/>
      <c r="B12" s="380" t="s">
        <v>241</v>
      </c>
      <c r="C12" s="11" t="s">
        <v>54</v>
      </c>
      <c r="D12" s="380"/>
      <c r="E12" s="380"/>
      <c r="F12" s="380">
        <f t="shared" ref="F12:N12" si="4">E12+F11</f>
        <v>0</v>
      </c>
      <c r="G12" s="380">
        <f t="shared" si="4"/>
        <v>0</v>
      </c>
      <c r="H12" s="380">
        <f t="shared" si="4"/>
        <v>0</v>
      </c>
      <c r="I12" s="380">
        <f t="shared" si="4"/>
        <v>0</v>
      </c>
      <c r="J12" s="380">
        <f t="shared" si="4"/>
        <v>0</v>
      </c>
      <c r="K12" s="380">
        <f t="shared" si="4"/>
        <v>0</v>
      </c>
      <c r="L12" s="380">
        <f t="shared" si="4"/>
        <v>0</v>
      </c>
      <c r="M12" s="380">
        <f t="shared" si="4"/>
        <v>0</v>
      </c>
      <c r="N12" s="380">
        <f t="shared" si="4"/>
        <v>0</v>
      </c>
      <c r="O12" s="380">
        <f>N12+O11</f>
        <v>1</v>
      </c>
      <c r="P12" s="380">
        <f t="shared" ref="P12:AR12" si="5">O12+P11</f>
        <v>2</v>
      </c>
      <c r="Q12" s="380">
        <f t="shared" si="5"/>
        <v>3</v>
      </c>
      <c r="R12" s="380">
        <f t="shared" si="5"/>
        <v>4</v>
      </c>
      <c r="S12" s="380">
        <f t="shared" si="5"/>
        <v>5</v>
      </c>
      <c r="T12" s="380">
        <f t="shared" si="5"/>
        <v>6</v>
      </c>
      <c r="U12" s="380">
        <f t="shared" si="5"/>
        <v>7</v>
      </c>
      <c r="V12" s="380">
        <f t="shared" si="5"/>
        <v>8</v>
      </c>
      <c r="W12" s="380">
        <f t="shared" si="5"/>
        <v>9</v>
      </c>
      <c r="X12" s="380">
        <f t="shared" si="5"/>
        <v>10</v>
      </c>
      <c r="Y12" s="380">
        <f t="shared" si="5"/>
        <v>11</v>
      </c>
      <c r="Z12" s="380">
        <f t="shared" si="5"/>
        <v>12</v>
      </c>
      <c r="AA12" s="380">
        <f t="shared" si="5"/>
        <v>13</v>
      </c>
      <c r="AB12" s="380">
        <f t="shared" si="5"/>
        <v>14</v>
      </c>
      <c r="AC12" s="380">
        <f t="shared" si="5"/>
        <v>15</v>
      </c>
      <c r="AD12" s="380">
        <f t="shared" si="5"/>
        <v>16</v>
      </c>
      <c r="AE12" s="380">
        <f t="shared" si="5"/>
        <v>17</v>
      </c>
      <c r="AF12" s="380">
        <f t="shared" si="5"/>
        <v>18</v>
      </c>
      <c r="AG12" s="380">
        <f t="shared" si="5"/>
        <v>19</v>
      </c>
      <c r="AH12" s="380">
        <f t="shared" si="5"/>
        <v>20</v>
      </c>
      <c r="AI12" s="380">
        <f t="shared" si="5"/>
        <v>20</v>
      </c>
      <c r="AJ12" s="380">
        <f t="shared" si="5"/>
        <v>20</v>
      </c>
      <c r="AK12" s="380">
        <f t="shared" si="5"/>
        <v>20</v>
      </c>
      <c r="AL12" s="380">
        <f t="shared" si="5"/>
        <v>20</v>
      </c>
      <c r="AM12" s="380">
        <f t="shared" si="5"/>
        <v>20</v>
      </c>
      <c r="AN12" s="380">
        <f t="shared" si="5"/>
        <v>20</v>
      </c>
      <c r="AO12" s="380">
        <f t="shared" si="5"/>
        <v>20</v>
      </c>
      <c r="AP12" s="380">
        <f t="shared" si="5"/>
        <v>20</v>
      </c>
      <c r="AQ12" s="380">
        <f t="shared" si="5"/>
        <v>20</v>
      </c>
      <c r="AR12" s="380">
        <f t="shared" si="5"/>
        <v>20</v>
      </c>
    </row>
    <row r="13" spans="1:44" ht="15" x14ac:dyDescent="0.25">
      <c r="A13" s="2" t="s">
        <v>241</v>
      </c>
      <c r="B13" s="380"/>
      <c r="C13" s="11"/>
      <c r="D13" s="380"/>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80"/>
      <c r="AI13" s="380"/>
      <c r="AJ13" s="380"/>
      <c r="AK13" s="380"/>
      <c r="AL13" s="380"/>
      <c r="AM13" s="380"/>
      <c r="AN13" s="380"/>
      <c r="AO13" s="380"/>
      <c r="AP13" s="380"/>
      <c r="AQ13" s="380"/>
      <c r="AR13" s="380"/>
    </row>
    <row r="14" spans="1:44" x14ac:dyDescent="0.2">
      <c r="A14" s="380"/>
      <c r="B14" s="380" t="s">
        <v>242</v>
      </c>
      <c r="C14" s="11" t="s">
        <v>54</v>
      </c>
      <c r="D14" s="380"/>
      <c r="E14" s="380"/>
      <c r="F14" s="380">
        <f>(F11+D14)*F11</f>
        <v>0</v>
      </c>
      <c r="G14" s="380">
        <f t="shared" ref="G14:AR14" si="6">(G11+F14)*G11</f>
        <v>0</v>
      </c>
      <c r="H14" s="380">
        <f t="shared" si="6"/>
        <v>0</v>
      </c>
      <c r="I14" s="380">
        <f t="shared" si="6"/>
        <v>0</v>
      </c>
      <c r="J14" s="380">
        <f t="shared" si="6"/>
        <v>0</v>
      </c>
      <c r="K14" s="380">
        <f t="shared" si="6"/>
        <v>0</v>
      </c>
      <c r="L14" s="380">
        <f t="shared" si="6"/>
        <v>0</v>
      </c>
      <c r="M14" s="380">
        <f t="shared" si="6"/>
        <v>0</v>
      </c>
      <c r="N14" s="380">
        <f t="shared" si="6"/>
        <v>0</v>
      </c>
      <c r="O14" s="380">
        <f t="shared" si="6"/>
        <v>1</v>
      </c>
      <c r="P14" s="380">
        <f t="shared" si="6"/>
        <v>2</v>
      </c>
      <c r="Q14" s="380">
        <f t="shared" si="6"/>
        <v>3</v>
      </c>
      <c r="R14" s="380">
        <f t="shared" si="6"/>
        <v>4</v>
      </c>
      <c r="S14" s="380">
        <f t="shared" si="6"/>
        <v>5</v>
      </c>
      <c r="T14" s="380">
        <f t="shared" si="6"/>
        <v>6</v>
      </c>
      <c r="U14" s="380">
        <f t="shared" si="6"/>
        <v>7</v>
      </c>
      <c r="V14" s="380">
        <f t="shared" si="6"/>
        <v>8</v>
      </c>
      <c r="W14" s="380">
        <f t="shared" si="6"/>
        <v>9</v>
      </c>
      <c r="X14" s="380">
        <f t="shared" si="6"/>
        <v>10</v>
      </c>
      <c r="Y14" s="380">
        <f t="shared" si="6"/>
        <v>11</v>
      </c>
      <c r="Z14" s="380">
        <f t="shared" si="6"/>
        <v>12</v>
      </c>
      <c r="AA14" s="380">
        <f t="shared" si="6"/>
        <v>13</v>
      </c>
      <c r="AB14" s="380">
        <f t="shared" si="6"/>
        <v>14</v>
      </c>
      <c r="AC14" s="380">
        <f t="shared" si="6"/>
        <v>15</v>
      </c>
      <c r="AD14" s="380">
        <f t="shared" si="6"/>
        <v>16</v>
      </c>
      <c r="AE14" s="380">
        <f t="shared" si="6"/>
        <v>17</v>
      </c>
      <c r="AF14" s="380">
        <f t="shared" si="6"/>
        <v>18</v>
      </c>
      <c r="AG14" s="380">
        <f t="shared" si="6"/>
        <v>19</v>
      </c>
      <c r="AH14" s="380">
        <f t="shared" si="6"/>
        <v>20</v>
      </c>
      <c r="AI14" s="380">
        <f t="shared" si="6"/>
        <v>0</v>
      </c>
      <c r="AJ14" s="380">
        <f t="shared" si="6"/>
        <v>0</v>
      </c>
      <c r="AK14" s="380">
        <f t="shared" si="6"/>
        <v>0</v>
      </c>
      <c r="AL14" s="380">
        <f t="shared" si="6"/>
        <v>0</v>
      </c>
      <c r="AM14" s="380">
        <f t="shared" si="6"/>
        <v>0</v>
      </c>
      <c r="AN14" s="380">
        <f t="shared" si="6"/>
        <v>0</v>
      </c>
      <c r="AO14" s="380">
        <f t="shared" si="6"/>
        <v>0</v>
      </c>
      <c r="AP14" s="380">
        <f t="shared" si="6"/>
        <v>0</v>
      </c>
      <c r="AQ14" s="380">
        <f t="shared" si="6"/>
        <v>0</v>
      </c>
      <c r="AR14" s="380">
        <f t="shared" si="6"/>
        <v>0</v>
      </c>
    </row>
    <row r="15" spans="1:44" x14ac:dyDescent="0.2">
      <c r="A15" s="380"/>
      <c r="B15" s="380"/>
      <c r="C15" s="10"/>
      <c r="D15" s="380"/>
      <c r="E15" s="380"/>
      <c r="F15" s="380"/>
      <c r="G15" s="380"/>
      <c r="H15" s="380"/>
      <c r="I15" s="380"/>
      <c r="J15" s="380"/>
      <c r="K15" s="380"/>
      <c r="L15" s="380"/>
      <c r="M15" s="380"/>
      <c r="N15" s="380"/>
      <c r="O15" s="380"/>
      <c r="P15" s="380"/>
      <c r="Q15" s="380"/>
      <c r="R15" s="380"/>
      <c r="S15" s="380"/>
      <c r="T15" s="380"/>
      <c r="U15" s="380"/>
      <c r="V15" s="380"/>
      <c r="W15" s="380"/>
      <c r="X15" s="380"/>
      <c r="Y15" s="380"/>
      <c r="Z15" s="380"/>
      <c r="AA15" s="380"/>
      <c r="AB15" s="380"/>
      <c r="AC15" s="380"/>
      <c r="AD15" s="380"/>
      <c r="AE15" s="380"/>
      <c r="AF15" s="380"/>
      <c r="AG15" s="380"/>
      <c r="AH15" s="380"/>
      <c r="AI15" s="380"/>
      <c r="AJ15" s="380"/>
      <c r="AK15" s="380"/>
      <c r="AL15" s="380"/>
      <c r="AM15" s="380"/>
      <c r="AN15" s="380"/>
      <c r="AO15" s="380"/>
      <c r="AP15" s="380"/>
      <c r="AQ15" s="380"/>
      <c r="AR15" s="380"/>
    </row>
    <row r="16" spans="1:44" x14ac:dyDescent="0.2">
      <c r="A16" s="380"/>
      <c r="B16" s="380" t="s">
        <v>243</v>
      </c>
      <c r="C16" s="380" t="s">
        <v>48</v>
      </c>
      <c r="D16" s="380" t="s">
        <v>49</v>
      </c>
      <c r="E16" s="380"/>
      <c r="F16" s="380"/>
      <c r="G16" s="380"/>
      <c r="H16" s="380"/>
      <c r="I16" s="380"/>
      <c r="J16" s="380"/>
      <c r="K16" s="380"/>
      <c r="L16" s="380"/>
      <c r="M16" s="380"/>
      <c r="N16" s="380"/>
      <c r="O16" s="380"/>
      <c r="P16" s="380"/>
      <c r="Q16" s="380"/>
      <c r="R16" s="380"/>
      <c r="S16" s="380"/>
      <c r="T16" s="380"/>
      <c r="U16" s="380"/>
      <c r="V16" s="380"/>
      <c r="W16" s="380"/>
      <c r="X16" s="380"/>
      <c r="Y16" s="380"/>
      <c r="Z16" s="380"/>
      <c r="AA16" s="380"/>
      <c r="AB16" s="380"/>
      <c r="AC16" s="380"/>
      <c r="AD16" s="380"/>
      <c r="AE16" s="380"/>
      <c r="AF16" s="380"/>
      <c r="AG16" s="380"/>
      <c r="AH16" s="380"/>
      <c r="AI16" s="380"/>
      <c r="AJ16" s="380"/>
      <c r="AK16" s="380"/>
      <c r="AL16" s="380"/>
      <c r="AM16" s="380"/>
      <c r="AN16" s="380"/>
      <c r="AO16" s="380"/>
      <c r="AP16" s="380"/>
      <c r="AQ16" s="380"/>
      <c r="AR16" s="380"/>
    </row>
    <row r="17" spans="1:44" s="4" customFormat="1" x14ac:dyDescent="0.2">
      <c r="A17" s="449" t="s">
        <v>260</v>
      </c>
      <c r="B17" s="450"/>
      <c r="C17" s="450"/>
      <c r="D17" s="450"/>
      <c r="E17" s="450"/>
      <c r="F17" s="450"/>
      <c r="G17" s="450"/>
      <c r="H17" s="450"/>
      <c r="I17" s="450"/>
      <c r="J17" s="450"/>
      <c r="K17" s="450"/>
      <c r="L17" s="450"/>
      <c r="M17" s="450"/>
      <c r="N17" s="450"/>
      <c r="O17" s="450"/>
      <c r="P17" s="450"/>
      <c r="Q17" s="450"/>
      <c r="R17" s="450"/>
      <c r="S17" s="450"/>
      <c r="T17" s="450"/>
      <c r="U17" s="450"/>
      <c r="V17" s="450"/>
      <c r="W17" s="450"/>
      <c r="X17" s="450"/>
      <c r="Y17" s="450"/>
      <c r="Z17" s="450"/>
      <c r="AA17" s="450"/>
      <c r="AB17" s="450"/>
      <c r="AC17" s="450"/>
      <c r="AD17" s="450"/>
      <c r="AE17" s="450"/>
      <c r="AF17" s="450"/>
      <c r="AG17" s="450"/>
      <c r="AH17" s="450"/>
      <c r="AI17" s="450"/>
      <c r="AJ17" s="450"/>
      <c r="AK17" s="450"/>
      <c r="AL17" s="450"/>
      <c r="AM17" s="450"/>
      <c r="AN17" s="450"/>
      <c r="AO17" s="450"/>
      <c r="AP17" s="450"/>
      <c r="AQ17" s="450"/>
      <c r="AR17" s="450"/>
    </row>
    <row r="18" spans="1:44" ht="15" x14ac:dyDescent="0.25">
      <c r="A18" s="2" t="s">
        <v>261</v>
      </c>
      <c r="B18" s="380"/>
      <c r="C18" s="1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80"/>
      <c r="AJ18" s="380"/>
      <c r="AK18" s="380"/>
      <c r="AL18" s="380"/>
      <c r="AM18" s="380"/>
      <c r="AN18" s="380"/>
      <c r="AO18" s="380"/>
      <c r="AP18" s="380"/>
      <c r="AQ18" s="380"/>
      <c r="AR18" s="380"/>
    </row>
    <row r="19" spans="1:44" ht="15" x14ac:dyDescent="0.25">
      <c r="A19" s="2"/>
      <c r="B19" s="380" t="s">
        <v>110</v>
      </c>
      <c r="C19" s="11" t="s">
        <v>54</v>
      </c>
      <c r="D19" s="380">
        <f>Inputs!$E$51</f>
        <v>2023</v>
      </c>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L19" s="380"/>
      <c r="AM19" s="380"/>
      <c r="AN19" s="380"/>
      <c r="AO19" s="380"/>
      <c r="AP19" s="380"/>
      <c r="AQ19" s="380"/>
      <c r="AR19" s="380"/>
    </row>
    <row r="20" spans="1:44" ht="15" x14ac:dyDescent="0.25">
      <c r="A20" s="2"/>
      <c r="B20" s="380" t="s">
        <v>111</v>
      </c>
      <c r="C20" s="11" t="s">
        <v>112</v>
      </c>
      <c r="D20" s="417">
        <f>Inputs!$E$52</f>
        <v>19720</v>
      </c>
      <c r="E20" s="380"/>
      <c r="F20" s="417">
        <f t="shared" ref="F20:AR20" si="7">IF(F7=$D$19,$D$20,0)</f>
        <v>0</v>
      </c>
      <c r="G20" s="417">
        <f t="shared" si="7"/>
        <v>0</v>
      </c>
      <c r="H20" s="417">
        <f t="shared" si="7"/>
        <v>0</v>
      </c>
      <c r="I20" s="417">
        <f t="shared" si="7"/>
        <v>0</v>
      </c>
      <c r="J20" s="417">
        <f t="shared" si="7"/>
        <v>0</v>
      </c>
      <c r="K20" s="417">
        <f t="shared" si="7"/>
        <v>19720</v>
      </c>
      <c r="L20" s="417">
        <f t="shared" si="7"/>
        <v>0</v>
      </c>
      <c r="M20" s="417">
        <f t="shared" si="7"/>
        <v>0</v>
      </c>
      <c r="N20" s="417">
        <f t="shared" si="7"/>
        <v>0</v>
      </c>
      <c r="O20" s="417">
        <f t="shared" si="7"/>
        <v>0</v>
      </c>
      <c r="P20" s="417">
        <f t="shared" si="7"/>
        <v>0</v>
      </c>
      <c r="Q20" s="417">
        <f t="shared" si="7"/>
        <v>0</v>
      </c>
      <c r="R20" s="417">
        <f t="shared" si="7"/>
        <v>0</v>
      </c>
      <c r="S20" s="417">
        <f t="shared" si="7"/>
        <v>0</v>
      </c>
      <c r="T20" s="417">
        <f t="shared" si="7"/>
        <v>0</v>
      </c>
      <c r="U20" s="417">
        <f t="shared" si="7"/>
        <v>0</v>
      </c>
      <c r="V20" s="417">
        <f t="shared" si="7"/>
        <v>0</v>
      </c>
      <c r="W20" s="417">
        <f t="shared" si="7"/>
        <v>0</v>
      </c>
      <c r="X20" s="417">
        <f t="shared" si="7"/>
        <v>0</v>
      </c>
      <c r="Y20" s="417">
        <f t="shared" si="7"/>
        <v>0</v>
      </c>
      <c r="Z20" s="417">
        <f t="shared" si="7"/>
        <v>0</v>
      </c>
      <c r="AA20" s="417">
        <f t="shared" si="7"/>
        <v>0</v>
      </c>
      <c r="AB20" s="417">
        <f t="shared" si="7"/>
        <v>0</v>
      </c>
      <c r="AC20" s="417">
        <f t="shared" si="7"/>
        <v>0</v>
      </c>
      <c r="AD20" s="417">
        <f t="shared" si="7"/>
        <v>0</v>
      </c>
      <c r="AE20" s="417">
        <f t="shared" si="7"/>
        <v>0</v>
      </c>
      <c r="AF20" s="417">
        <f t="shared" si="7"/>
        <v>0</v>
      </c>
      <c r="AG20" s="417">
        <f t="shared" si="7"/>
        <v>0</v>
      </c>
      <c r="AH20" s="417">
        <f t="shared" si="7"/>
        <v>0</v>
      </c>
      <c r="AI20" s="417">
        <f t="shared" si="7"/>
        <v>0</v>
      </c>
      <c r="AJ20" s="417">
        <f t="shared" si="7"/>
        <v>0</v>
      </c>
      <c r="AK20" s="417">
        <f t="shared" si="7"/>
        <v>0</v>
      </c>
      <c r="AL20" s="417">
        <f t="shared" si="7"/>
        <v>0</v>
      </c>
      <c r="AM20" s="417">
        <f t="shared" si="7"/>
        <v>0</v>
      </c>
      <c r="AN20" s="417">
        <f t="shared" si="7"/>
        <v>0</v>
      </c>
      <c r="AO20" s="417">
        <f t="shared" si="7"/>
        <v>0</v>
      </c>
      <c r="AP20" s="417">
        <f t="shared" si="7"/>
        <v>0</v>
      </c>
      <c r="AQ20" s="417">
        <f t="shared" si="7"/>
        <v>0</v>
      </c>
      <c r="AR20" s="417">
        <f t="shared" si="7"/>
        <v>0</v>
      </c>
    </row>
    <row r="21" spans="1:44" ht="15" x14ac:dyDescent="0.25">
      <c r="A21" s="2"/>
      <c r="B21" s="380" t="s">
        <v>113</v>
      </c>
      <c r="C21" s="11" t="s">
        <v>54</v>
      </c>
      <c r="D21" s="380">
        <f>Inputs!$E$53</f>
        <v>2046</v>
      </c>
      <c r="E21" s="380"/>
      <c r="F21" s="380"/>
      <c r="G21" s="380"/>
      <c r="H21" s="380"/>
      <c r="I21" s="380"/>
      <c r="J21" s="380"/>
      <c r="K21" s="380"/>
      <c r="L21" s="380"/>
      <c r="M21" s="380"/>
      <c r="N21" s="380"/>
      <c r="O21" s="380"/>
      <c r="P21" s="380"/>
      <c r="Q21" s="380"/>
      <c r="R21" s="380"/>
      <c r="S21" s="380"/>
      <c r="T21" s="380"/>
      <c r="U21" s="380"/>
      <c r="V21" s="380"/>
      <c r="W21" s="380"/>
      <c r="X21" s="380"/>
      <c r="Y21" s="380"/>
      <c r="Z21" s="380"/>
      <c r="AA21" s="380"/>
      <c r="AB21" s="380"/>
      <c r="AC21" s="380"/>
      <c r="AD21" s="380"/>
      <c r="AE21" s="380"/>
      <c r="AF21" s="380"/>
      <c r="AG21" s="380"/>
      <c r="AH21" s="380"/>
      <c r="AI21" s="380"/>
      <c r="AJ21" s="380"/>
      <c r="AK21" s="380"/>
      <c r="AL21" s="380"/>
      <c r="AM21" s="380"/>
      <c r="AN21" s="380"/>
      <c r="AO21" s="380"/>
      <c r="AP21" s="380"/>
      <c r="AQ21" s="380"/>
      <c r="AR21" s="380"/>
    </row>
    <row r="22" spans="1:44" ht="15" x14ac:dyDescent="0.25">
      <c r="A22" s="2"/>
      <c r="B22" s="380" t="s">
        <v>114</v>
      </c>
      <c r="C22" s="11" t="s">
        <v>112</v>
      </c>
      <c r="D22" s="417">
        <f>Inputs!$E$54</f>
        <v>24255.599999999999</v>
      </c>
      <c r="E22" s="380"/>
      <c r="F22" s="417">
        <f t="shared" ref="F22:AR22" si="8">IF(F7=$D$21,$D$22,0)</f>
        <v>0</v>
      </c>
      <c r="G22" s="417">
        <f t="shared" si="8"/>
        <v>0</v>
      </c>
      <c r="H22" s="417">
        <f t="shared" si="8"/>
        <v>0</v>
      </c>
      <c r="I22" s="417">
        <f t="shared" si="8"/>
        <v>0</v>
      </c>
      <c r="J22" s="417">
        <f t="shared" si="8"/>
        <v>0</v>
      </c>
      <c r="K22" s="417">
        <f t="shared" si="8"/>
        <v>0</v>
      </c>
      <c r="L22" s="417">
        <f t="shared" si="8"/>
        <v>0</v>
      </c>
      <c r="M22" s="417">
        <f t="shared" si="8"/>
        <v>0</v>
      </c>
      <c r="N22" s="417">
        <f t="shared" si="8"/>
        <v>0</v>
      </c>
      <c r="O22" s="417">
        <f t="shared" si="8"/>
        <v>0</v>
      </c>
      <c r="P22" s="417">
        <f t="shared" si="8"/>
        <v>0</v>
      </c>
      <c r="Q22" s="417">
        <f t="shared" si="8"/>
        <v>0</v>
      </c>
      <c r="R22" s="417">
        <f t="shared" si="8"/>
        <v>0</v>
      </c>
      <c r="S22" s="417">
        <f t="shared" si="8"/>
        <v>0</v>
      </c>
      <c r="T22" s="417">
        <f t="shared" si="8"/>
        <v>0</v>
      </c>
      <c r="U22" s="417">
        <f t="shared" si="8"/>
        <v>0</v>
      </c>
      <c r="V22" s="417">
        <f t="shared" si="8"/>
        <v>0</v>
      </c>
      <c r="W22" s="417">
        <f t="shared" si="8"/>
        <v>0</v>
      </c>
      <c r="X22" s="417">
        <f t="shared" si="8"/>
        <v>0</v>
      </c>
      <c r="Y22" s="417">
        <f t="shared" si="8"/>
        <v>0</v>
      </c>
      <c r="Z22" s="417">
        <f t="shared" si="8"/>
        <v>0</v>
      </c>
      <c r="AA22" s="417">
        <f t="shared" si="8"/>
        <v>0</v>
      </c>
      <c r="AB22" s="417">
        <f t="shared" si="8"/>
        <v>0</v>
      </c>
      <c r="AC22" s="417">
        <f t="shared" si="8"/>
        <v>0</v>
      </c>
      <c r="AD22" s="417">
        <f t="shared" si="8"/>
        <v>0</v>
      </c>
      <c r="AE22" s="417">
        <f t="shared" si="8"/>
        <v>0</v>
      </c>
      <c r="AF22" s="417">
        <f t="shared" si="8"/>
        <v>0</v>
      </c>
      <c r="AG22" s="417">
        <f t="shared" si="8"/>
        <v>0</v>
      </c>
      <c r="AH22" s="417">
        <f t="shared" si="8"/>
        <v>24255.599999999999</v>
      </c>
      <c r="AI22" s="417">
        <f t="shared" si="8"/>
        <v>0</v>
      </c>
      <c r="AJ22" s="417">
        <f t="shared" si="8"/>
        <v>0</v>
      </c>
      <c r="AK22" s="417">
        <f t="shared" si="8"/>
        <v>0</v>
      </c>
      <c r="AL22" s="417">
        <f t="shared" si="8"/>
        <v>0</v>
      </c>
      <c r="AM22" s="417">
        <f t="shared" si="8"/>
        <v>0</v>
      </c>
      <c r="AN22" s="417">
        <f t="shared" si="8"/>
        <v>0</v>
      </c>
      <c r="AO22" s="417">
        <f t="shared" si="8"/>
        <v>0</v>
      </c>
      <c r="AP22" s="417">
        <f t="shared" si="8"/>
        <v>0</v>
      </c>
      <c r="AQ22" s="417">
        <f t="shared" si="8"/>
        <v>0</v>
      </c>
      <c r="AR22" s="417">
        <f t="shared" si="8"/>
        <v>0</v>
      </c>
    </row>
    <row r="23" spans="1:44" ht="15" x14ac:dyDescent="0.25">
      <c r="A23" s="2"/>
      <c r="B23" s="380" t="s">
        <v>262</v>
      </c>
      <c r="C23" s="11" t="s">
        <v>76</v>
      </c>
      <c r="D23" s="451">
        <f>(D22/D20)^(1/(D21-D19))-1</f>
        <v>9.041243403814514E-3</v>
      </c>
      <c r="E23" s="380"/>
      <c r="F23" s="380"/>
      <c r="G23" s="380"/>
      <c r="H23" s="380"/>
      <c r="I23" s="380"/>
      <c r="J23" s="380"/>
      <c r="K23" s="380"/>
      <c r="L23" s="380"/>
      <c r="M23" s="380"/>
      <c r="N23" s="380"/>
      <c r="O23" s="380"/>
      <c r="P23" s="380"/>
      <c r="Q23" s="380"/>
      <c r="R23" s="380"/>
      <c r="S23" s="380"/>
      <c r="T23" s="380"/>
      <c r="U23" s="380"/>
      <c r="V23" s="380"/>
      <c r="W23" s="380"/>
      <c r="X23" s="380"/>
      <c r="Y23" s="380"/>
      <c r="Z23" s="380"/>
      <c r="AA23" s="380"/>
      <c r="AB23" s="380"/>
      <c r="AC23" s="380"/>
      <c r="AD23" s="380"/>
      <c r="AE23" s="380"/>
      <c r="AF23" s="380"/>
      <c r="AG23" s="380"/>
      <c r="AH23" s="380"/>
      <c r="AI23" s="380"/>
      <c r="AJ23" s="380"/>
      <c r="AK23" s="380"/>
      <c r="AL23" s="380"/>
      <c r="AM23" s="380"/>
      <c r="AN23" s="380"/>
      <c r="AO23" s="380"/>
      <c r="AP23" s="380"/>
      <c r="AQ23" s="380"/>
      <c r="AR23" s="380"/>
    </row>
    <row r="24" spans="1:44" ht="15" x14ac:dyDescent="0.25">
      <c r="A24" s="2"/>
      <c r="B24" s="380" t="s">
        <v>263</v>
      </c>
      <c r="C24" s="11" t="s">
        <v>264</v>
      </c>
      <c r="D24" s="452">
        <f>(D22-D20)/(D21-D19)</f>
        <v>197.19999999999993</v>
      </c>
      <c r="E24" s="380"/>
      <c r="F24" s="380"/>
      <c r="G24" s="380"/>
      <c r="H24" s="380"/>
      <c r="I24" s="380"/>
      <c r="J24" s="380"/>
      <c r="K24" s="380"/>
      <c r="L24" s="380"/>
      <c r="M24" s="380"/>
      <c r="N24" s="380"/>
      <c r="O24" s="380"/>
      <c r="P24" s="380"/>
      <c r="Q24" s="380"/>
      <c r="R24" s="380"/>
      <c r="S24" s="380"/>
      <c r="T24" s="380"/>
      <c r="U24" s="380"/>
      <c r="V24" s="380"/>
      <c r="W24" s="380"/>
      <c r="X24" s="380"/>
      <c r="Y24" s="380"/>
      <c r="Z24" s="380"/>
      <c r="AA24" s="380"/>
      <c r="AB24" s="380"/>
      <c r="AC24" s="380"/>
      <c r="AD24" s="380"/>
      <c r="AE24" s="380"/>
      <c r="AF24" s="380"/>
      <c r="AG24" s="380"/>
      <c r="AH24" s="380"/>
      <c r="AI24" s="380"/>
      <c r="AJ24" s="380"/>
      <c r="AK24" s="380"/>
      <c r="AL24" s="380"/>
      <c r="AM24" s="380"/>
      <c r="AN24" s="380"/>
      <c r="AO24" s="380"/>
      <c r="AP24" s="380"/>
      <c r="AQ24" s="380"/>
      <c r="AR24" s="380"/>
    </row>
    <row r="25" spans="1:44" ht="15" x14ac:dyDescent="0.25">
      <c r="A25" s="2"/>
      <c r="B25" s="380" t="s">
        <v>265</v>
      </c>
      <c r="C25" s="11" t="s">
        <v>54</v>
      </c>
      <c r="D25" s="380">
        <f>F7</f>
        <v>2018</v>
      </c>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0"/>
      <c r="AP25" s="380"/>
      <c r="AQ25" s="380"/>
      <c r="AR25" s="380"/>
    </row>
    <row r="26" spans="1:44" ht="15" x14ac:dyDescent="0.25">
      <c r="A26" s="2"/>
      <c r="B26" s="380" t="s">
        <v>266</v>
      </c>
      <c r="C26" s="11" t="s">
        <v>112</v>
      </c>
      <c r="D26" s="440">
        <f>D20-D24*(D19-D25)</f>
        <v>18734</v>
      </c>
      <c r="E26" s="380"/>
      <c r="F26" s="417">
        <f t="shared" ref="F26:AR26" si="9">IF(F7=$D$25,$D$26,0)</f>
        <v>18734</v>
      </c>
      <c r="G26" s="417">
        <f t="shared" si="9"/>
        <v>0</v>
      </c>
      <c r="H26" s="417">
        <f t="shared" si="9"/>
        <v>0</v>
      </c>
      <c r="I26" s="417">
        <f t="shared" si="9"/>
        <v>0</v>
      </c>
      <c r="J26" s="417">
        <f t="shared" si="9"/>
        <v>0</v>
      </c>
      <c r="K26" s="417">
        <f t="shared" si="9"/>
        <v>0</v>
      </c>
      <c r="L26" s="417">
        <f t="shared" si="9"/>
        <v>0</v>
      </c>
      <c r="M26" s="417">
        <f t="shared" si="9"/>
        <v>0</v>
      </c>
      <c r="N26" s="417">
        <f t="shared" si="9"/>
        <v>0</v>
      </c>
      <c r="O26" s="417">
        <f t="shared" si="9"/>
        <v>0</v>
      </c>
      <c r="P26" s="417">
        <f t="shared" si="9"/>
        <v>0</v>
      </c>
      <c r="Q26" s="417">
        <f t="shared" si="9"/>
        <v>0</v>
      </c>
      <c r="R26" s="417">
        <f t="shared" si="9"/>
        <v>0</v>
      </c>
      <c r="S26" s="417">
        <f t="shared" si="9"/>
        <v>0</v>
      </c>
      <c r="T26" s="417">
        <f t="shared" si="9"/>
        <v>0</v>
      </c>
      <c r="U26" s="417">
        <f t="shared" si="9"/>
        <v>0</v>
      </c>
      <c r="V26" s="417">
        <f t="shared" si="9"/>
        <v>0</v>
      </c>
      <c r="W26" s="417">
        <f t="shared" si="9"/>
        <v>0</v>
      </c>
      <c r="X26" s="417">
        <f t="shared" si="9"/>
        <v>0</v>
      </c>
      <c r="Y26" s="417">
        <f t="shared" si="9"/>
        <v>0</v>
      </c>
      <c r="Z26" s="417">
        <f t="shared" si="9"/>
        <v>0</v>
      </c>
      <c r="AA26" s="417">
        <f t="shared" si="9"/>
        <v>0</v>
      </c>
      <c r="AB26" s="417">
        <f t="shared" si="9"/>
        <v>0</v>
      </c>
      <c r="AC26" s="417">
        <f t="shared" si="9"/>
        <v>0</v>
      </c>
      <c r="AD26" s="417">
        <f t="shared" si="9"/>
        <v>0</v>
      </c>
      <c r="AE26" s="417">
        <f t="shared" si="9"/>
        <v>0</v>
      </c>
      <c r="AF26" s="417">
        <f t="shared" si="9"/>
        <v>0</v>
      </c>
      <c r="AG26" s="417">
        <f t="shared" si="9"/>
        <v>0</v>
      </c>
      <c r="AH26" s="417">
        <f t="shared" si="9"/>
        <v>0</v>
      </c>
      <c r="AI26" s="417">
        <f t="shared" si="9"/>
        <v>0</v>
      </c>
      <c r="AJ26" s="417">
        <f t="shared" si="9"/>
        <v>0</v>
      </c>
      <c r="AK26" s="417">
        <f t="shared" si="9"/>
        <v>0</v>
      </c>
      <c r="AL26" s="417">
        <f t="shared" si="9"/>
        <v>0</v>
      </c>
      <c r="AM26" s="417">
        <f t="shared" si="9"/>
        <v>0</v>
      </c>
      <c r="AN26" s="417">
        <f t="shared" si="9"/>
        <v>0</v>
      </c>
      <c r="AO26" s="417">
        <f t="shared" si="9"/>
        <v>0</v>
      </c>
      <c r="AP26" s="417">
        <f t="shared" si="9"/>
        <v>0</v>
      </c>
      <c r="AQ26" s="417">
        <f t="shared" si="9"/>
        <v>0</v>
      </c>
      <c r="AR26" s="417">
        <f t="shared" si="9"/>
        <v>0</v>
      </c>
    </row>
    <row r="27" spans="1:44" ht="15" x14ac:dyDescent="0.25">
      <c r="A27" s="2"/>
      <c r="B27" s="380" t="s">
        <v>103</v>
      </c>
      <c r="C27" s="181" t="s">
        <v>76</v>
      </c>
      <c r="D27" s="445">
        <f>Inputs!$E$47</f>
        <v>0.03</v>
      </c>
      <c r="E27" s="380"/>
      <c r="F27" s="417"/>
      <c r="G27" s="417"/>
      <c r="H27" s="417"/>
      <c r="I27" s="417"/>
      <c r="J27" s="417"/>
      <c r="K27" s="417"/>
      <c r="L27" s="417"/>
      <c r="M27" s="417"/>
      <c r="N27" s="417"/>
      <c r="O27" s="417"/>
      <c r="P27" s="417"/>
      <c r="Q27" s="417"/>
      <c r="R27" s="417"/>
      <c r="S27" s="417"/>
      <c r="T27" s="417"/>
      <c r="U27" s="417"/>
      <c r="V27" s="417"/>
      <c r="W27" s="417"/>
      <c r="X27" s="417"/>
      <c r="Y27" s="417"/>
      <c r="Z27" s="417"/>
      <c r="AA27" s="417"/>
      <c r="AB27" s="417"/>
      <c r="AC27" s="417"/>
      <c r="AD27" s="417"/>
      <c r="AE27" s="417"/>
      <c r="AF27" s="417"/>
      <c r="AG27" s="417"/>
      <c r="AH27" s="417"/>
      <c r="AI27" s="417"/>
      <c r="AJ27" s="417"/>
      <c r="AK27" s="417"/>
      <c r="AL27" s="417"/>
      <c r="AM27" s="417"/>
      <c r="AN27" s="417"/>
      <c r="AO27" s="417"/>
      <c r="AP27" s="417"/>
      <c r="AQ27" s="417"/>
      <c r="AR27" s="417"/>
    </row>
    <row r="28" spans="1:44" ht="15" x14ac:dyDescent="0.25">
      <c r="A28" s="2"/>
      <c r="B28" s="380"/>
      <c r="C28" s="181"/>
      <c r="D28" s="445"/>
      <c r="E28" s="380"/>
      <c r="F28" s="417"/>
      <c r="G28" s="417"/>
      <c r="H28" s="417"/>
      <c r="I28" s="417"/>
      <c r="J28" s="417"/>
      <c r="K28" s="417"/>
      <c r="L28" s="417"/>
      <c r="M28" s="417"/>
      <c r="N28" s="417"/>
      <c r="O28" s="417"/>
      <c r="P28" s="417"/>
      <c r="Q28" s="417"/>
      <c r="R28" s="417"/>
      <c r="S28" s="417"/>
      <c r="T28" s="417"/>
      <c r="U28" s="417"/>
      <c r="V28" s="417"/>
      <c r="W28" s="417"/>
      <c r="X28" s="417"/>
      <c r="Y28" s="417"/>
      <c r="Z28" s="417"/>
      <c r="AA28" s="417"/>
      <c r="AB28" s="417"/>
      <c r="AC28" s="417"/>
      <c r="AD28" s="417"/>
      <c r="AE28" s="417"/>
      <c r="AF28" s="417"/>
      <c r="AG28" s="417"/>
      <c r="AH28" s="417"/>
      <c r="AI28" s="417"/>
      <c r="AJ28" s="417"/>
      <c r="AK28" s="417"/>
      <c r="AL28" s="417"/>
      <c r="AM28" s="417"/>
      <c r="AN28" s="417"/>
      <c r="AO28" s="417"/>
      <c r="AP28" s="417"/>
      <c r="AQ28" s="417"/>
      <c r="AR28" s="417"/>
    </row>
    <row r="29" spans="1:44" x14ac:dyDescent="0.2">
      <c r="A29" s="380"/>
      <c r="B29" s="380" t="s">
        <v>267</v>
      </c>
      <c r="C29" s="181" t="s">
        <v>112</v>
      </c>
      <c r="D29" s="440">
        <f>SUM(F29:AR29)</f>
        <v>876751.20000000054</v>
      </c>
      <c r="E29" s="380"/>
      <c r="F29" s="440">
        <f>F26</f>
        <v>18734</v>
      </c>
      <c r="G29" s="440">
        <f>F29+$D$24</f>
        <v>18931.2</v>
      </c>
      <c r="H29" s="440">
        <f t="shared" ref="H29:AR29" si="10">G29+$D$24</f>
        <v>19128.400000000001</v>
      </c>
      <c r="I29" s="440">
        <f t="shared" si="10"/>
        <v>19325.600000000002</v>
      </c>
      <c r="J29" s="440">
        <f t="shared" si="10"/>
        <v>19522.800000000003</v>
      </c>
      <c r="K29" s="440">
        <f t="shared" si="10"/>
        <v>19720.000000000004</v>
      </c>
      <c r="L29" s="440">
        <f t="shared" si="10"/>
        <v>19917.200000000004</v>
      </c>
      <c r="M29" s="440">
        <f t="shared" si="10"/>
        <v>20114.400000000005</v>
      </c>
      <c r="N29" s="440">
        <f t="shared" si="10"/>
        <v>20311.600000000006</v>
      </c>
      <c r="O29" s="440">
        <f t="shared" si="10"/>
        <v>20508.800000000007</v>
      </c>
      <c r="P29" s="440">
        <f t="shared" si="10"/>
        <v>20706.000000000007</v>
      </c>
      <c r="Q29" s="440">
        <f t="shared" si="10"/>
        <v>20903.200000000008</v>
      </c>
      <c r="R29" s="440">
        <f t="shared" si="10"/>
        <v>21100.400000000009</v>
      </c>
      <c r="S29" s="440">
        <f t="shared" si="10"/>
        <v>21297.600000000009</v>
      </c>
      <c r="T29" s="440">
        <f t="shared" si="10"/>
        <v>21494.80000000001</v>
      </c>
      <c r="U29" s="440">
        <f t="shared" si="10"/>
        <v>21692.000000000011</v>
      </c>
      <c r="V29" s="440">
        <f t="shared" si="10"/>
        <v>21889.200000000012</v>
      </c>
      <c r="W29" s="440">
        <f t="shared" si="10"/>
        <v>22086.400000000012</v>
      </c>
      <c r="X29" s="440">
        <f t="shared" si="10"/>
        <v>22283.600000000013</v>
      </c>
      <c r="Y29" s="440">
        <f t="shared" si="10"/>
        <v>22480.800000000014</v>
      </c>
      <c r="Z29" s="440">
        <f t="shared" si="10"/>
        <v>22678.000000000015</v>
      </c>
      <c r="AA29" s="440">
        <f t="shared" si="10"/>
        <v>22875.200000000015</v>
      </c>
      <c r="AB29" s="440">
        <f t="shared" si="10"/>
        <v>23072.400000000016</v>
      </c>
      <c r="AC29" s="440">
        <f t="shared" si="10"/>
        <v>23269.600000000017</v>
      </c>
      <c r="AD29" s="440">
        <f t="shared" si="10"/>
        <v>23466.800000000017</v>
      </c>
      <c r="AE29" s="440">
        <f t="shared" si="10"/>
        <v>23664.000000000018</v>
      </c>
      <c r="AF29" s="440">
        <f t="shared" si="10"/>
        <v>23861.200000000019</v>
      </c>
      <c r="AG29" s="440">
        <f t="shared" si="10"/>
        <v>24058.40000000002</v>
      </c>
      <c r="AH29" s="440">
        <f t="shared" si="10"/>
        <v>24255.60000000002</v>
      </c>
      <c r="AI29" s="440">
        <f t="shared" si="10"/>
        <v>24452.800000000021</v>
      </c>
      <c r="AJ29" s="440">
        <f t="shared" si="10"/>
        <v>24650.000000000022</v>
      </c>
      <c r="AK29" s="440">
        <f t="shared" si="10"/>
        <v>24847.200000000023</v>
      </c>
      <c r="AL29" s="440">
        <f t="shared" si="10"/>
        <v>25044.400000000023</v>
      </c>
      <c r="AM29" s="440">
        <f t="shared" si="10"/>
        <v>25241.600000000024</v>
      </c>
      <c r="AN29" s="440">
        <f t="shared" si="10"/>
        <v>25438.800000000025</v>
      </c>
      <c r="AO29" s="440">
        <f t="shared" si="10"/>
        <v>25636.000000000025</v>
      </c>
      <c r="AP29" s="440">
        <f t="shared" si="10"/>
        <v>25833.200000000026</v>
      </c>
      <c r="AQ29" s="440">
        <f t="shared" si="10"/>
        <v>26030.400000000027</v>
      </c>
      <c r="AR29" s="440">
        <f t="shared" si="10"/>
        <v>26227.600000000028</v>
      </c>
    </row>
    <row r="30" spans="1:44" x14ac:dyDescent="0.2">
      <c r="A30" s="380"/>
      <c r="B30" s="380" t="s">
        <v>268</v>
      </c>
      <c r="C30" s="181" t="s">
        <v>112</v>
      </c>
      <c r="D30" s="440">
        <f>SUM(F30:AR30)</f>
        <v>850448.66400000046</v>
      </c>
      <c r="E30" s="380"/>
      <c r="F30" s="440">
        <f t="shared" ref="F30:AR30" si="11">F29*(1-$D$27)</f>
        <v>18171.98</v>
      </c>
      <c r="G30" s="440">
        <f t="shared" si="11"/>
        <v>18363.263999999999</v>
      </c>
      <c r="H30" s="440">
        <f t="shared" si="11"/>
        <v>18554.548000000003</v>
      </c>
      <c r="I30" s="440">
        <f t="shared" si="11"/>
        <v>18745.832000000002</v>
      </c>
      <c r="J30" s="440">
        <f t="shared" si="11"/>
        <v>18937.116000000002</v>
      </c>
      <c r="K30" s="440">
        <f t="shared" si="11"/>
        <v>19128.400000000001</v>
      </c>
      <c r="L30" s="440">
        <f t="shared" si="11"/>
        <v>19319.684000000005</v>
      </c>
      <c r="M30" s="440">
        <f t="shared" si="11"/>
        <v>19510.968000000004</v>
      </c>
      <c r="N30" s="440">
        <f t="shared" si="11"/>
        <v>19702.252000000004</v>
      </c>
      <c r="O30" s="440">
        <f t="shared" si="11"/>
        <v>19893.536000000007</v>
      </c>
      <c r="P30" s="440">
        <f t="shared" si="11"/>
        <v>20084.820000000007</v>
      </c>
      <c r="Q30" s="440">
        <f t="shared" si="11"/>
        <v>20276.104000000007</v>
      </c>
      <c r="R30" s="440">
        <f t="shared" si="11"/>
        <v>20467.388000000006</v>
      </c>
      <c r="S30" s="440">
        <f t="shared" si="11"/>
        <v>20658.67200000001</v>
      </c>
      <c r="T30" s="440">
        <f t="shared" si="11"/>
        <v>20849.956000000009</v>
      </c>
      <c r="U30" s="440">
        <f t="shared" si="11"/>
        <v>21041.240000000009</v>
      </c>
      <c r="V30" s="440">
        <f t="shared" si="11"/>
        <v>21232.524000000012</v>
      </c>
      <c r="W30" s="440">
        <f t="shared" si="11"/>
        <v>21423.808000000012</v>
      </c>
      <c r="X30" s="440">
        <f t="shared" si="11"/>
        <v>21615.092000000011</v>
      </c>
      <c r="Y30" s="440">
        <f t="shared" si="11"/>
        <v>21806.376000000011</v>
      </c>
      <c r="Z30" s="440">
        <f t="shared" si="11"/>
        <v>21997.660000000014</v>
      </c>
      <c r="AA30" s="440">
        <f t="shared" si="11"/>
        <v>22188.944000000014</v>
      </c>
      <c r="AB30" s="440">
        <f t="shared" si="11"/>
        <v>22380.228000000014</v>
      </c>
      <c r="AC30" s="440">
        <f t="shared" si="11"/>
        <v>22571.512000000017</v>
      </c>
      <c r="AD30" s="440">
        <f t="shared" si="11"/>
        <v>22762.796000000017</v>
      </c>
      <c r="AE30" s="440">
        <f t="shared" si="11"/>
        <v>22954.080000000016</v>
      </c>
      <c r="AF30" s="440">
        <f t="shared" si="11"/>
        <v>23145.364000000016</v>
      </c>
      <c r="AG30" s="440">
        <f t="shared" si="11"/>
        <v>23336.648000000019</v>
      </c>
      <c r="AH30" s="440">
        <f t="shared" si="11"/>
        <v>23527.932000000019</v>
      </c>
      <c r="AI30" s="440">
        <f t="shared" si="11"/>
        <v>23719.216000000019</v>
      </c>
      <c r="AJ30" s="440">
        <f t="shared" si="11"/>
        <v>23910.500000000022</v>
      </c>
      <c r="AK30" s="440">
        <f t="shared" si="11"/>
        <v>24101.784000000021</v>
      </c>
      <c r="AL30" s="440">
        <f t="shared" si="11"/>
        <v>24293.068000000021</v>
      </c>
      <c r="AM30" s="440">
        <f t="shared" si="11"/>
        <v>24484.352000000024</v>
      </c>
      <c r="AN30" s="440">
        <f t="shared" si="11"/>
        <v>24675.636000000024</v>
      </c>
      <c r="AO30" s="440">
        <f t="shared" si="11"/>
        <v>24866.920000000024</v>
      </c>
      <c r="AP30" s="440">
        <f t="shared" si="11"/>
        <v>25058.204000000023</v>
      </c>
      <c r="AQ30" s="440">
        <f t="shared" si="11"/>
        <v>25249.488000000027</v>
      </c>
      <c r="AR30" s="440">
        <f t="shared" si="11"/>
        <v>25440.772000000026</v>
      </c>
    </row>
    <row r="31" spans="1:44" x14ac:dyDescent="0.2">
      <c r="A31" s="380"/>
      <c r="B31" s="380" t="s">
        <v>269</v>
      </c>
      <c r="C31" s="181" t="s">
        <v>112</v>
      </c>
      <c r="D31" s="440">
        <f>SUM(F31:AR31)</f>
        <v>26302.536000000015</v>
      </c>
      <c r="E31" s="380"/>
      <c r="F31" s="440">
        <f t="shared" ref="F31:AR31" si="12">F29*$D$27</f>
        <v>562.02</v>
      </c>
      <c r="G31" s="440">
        <f t="shared" si="12"/>
        <v>567.93600000000004</v>
      </c>
      <c r="H31" s="440">
        <f t="shared" si="12"/>
        <v>573.85199999999998</v>
      </c>
      <c r="I31" s="440">
        <f t="shared" si="12"/>
        <v>579.76800000000003</v>
      </c>
      <c r="J31" s="440">
        <f t="shared" si="12"/>
        <v>585.68400000000008</v>
      </c>
      <c r="K31" s="440">
        <f t="shared" si="12"/>
        <v>591.60000000000014</v>
      </c>
      <c r="L31" s="440">
        <f t="shared" si="12"/>
        <v>597.51600000000008</v>
      </c>
      <c r="M31" s="440">
        <f t="shared" si="12"/>
        <v>603.43200000000013</v>
      </c>
      <c r="N31" s="440">
        <f t="shared" si="12"/>
        <v>609.34800000000018</v>
      </c>
      <c r="O31" s="440">
        <f t="shared" si="12"/>
        <v>615.26400000000012</v>
      </c>
      <c r="P31" s="440">
        <f t="shared" si="12"/>
        <v>621.18000000000018</v>
      </c>
      <c r="Q31" s="440">
        <f t="shared" si="12"/>
        <v>627.09600000000023</v>
      </c>
      <c r="R31" s="440">
        <f t="shared" si="12"/>
        <v>633.01200000000028</v>
      </c>
      <c r="S31" s="440">
        <f t="shared" si="12"/>
        <v>638.92800000000022</v>
      </c>
      <c r="T31" s="440">
        <f t="shared" si="12"/>
        <v>644.84400000000028</v>
      </c>
      <c r="U31" s="440">
        <f t="shared" si="12"/>
        <v>650.76000000000033</v>
      </c>
      <c r="V31" s="440">
        <f t="shared" si="12"/>
        <v>656.67600000000027</v>
      </c>
      <c r="W31" s="440">
        <f t="shared" si="12"/>
        <v>662.59200000000033</v>
      </c>
      <c r="X31" s="440">
        <f t="shared" si="12"/>
        <v>668.50800000000038</v>
      </c>
      <c r="Y31" s="440">
        <f t="shared" si="12"/>
        <v>674.42400000000043</v>
      </c>
      <c r="Z31" s="440">
        <f t="shared" si="12"/>
        <v>680.34000000000037</v>
      </c>
      <c r="AA31" s="440">
        <f t="shared" si="12"/>
        <v>686.25600000000043</v>
      </c>
      <c r="AB31" s="440">
        <f t="shared" si="12"/>
        <v>692.17200000000048</v>
      </c>
      <c r="AC31" s="440">
        <f t="shared" si="12"/>
        <v>698.08800000000042</v>
      </c>
      <c r="AD31" s="440">
        <f t="shared" si="12"/>
        <v>704.00400000000047</v>
      </c>
      <c r="AE31" s="440">
        <f t="shared" si="12"/>
        <v>709.92000000000053</v>
      </c>
      <c r="AF31" s="440">
        <f t="shared" si="12"/>
        <v>715.83600000000058</v>
      </c>
      <c r="AG31" s="440">
        <f t="shared" si="12"/>
        <v>721.75200000000052</v>
      </c>
      <c r="AH31" s="440">
        <f t="shared" si="12"/>
        <v>727.66800000000057</v>
      </c>
      <c r="AI31" s="440">
        <f t="shared" si="12"/>
        <v>733.58400000000063</v>
      </c>
      <c r="AJ31" s="440">
        <f t="shared" si="12"/>
        <v>739.50000000000068</v>
      </c>
      <c r="AK31" s="440">
        <f t="shared" si="12"/>
        <v>745.41600000000062</v>
      </c>
      <c r="AL31" s="440">
        <f t="shared" si="12"/>
        <v>751.33200000000068</v>
      </c>
      <c r="AM31" s="440">
        <f t="shared" si="12"/>
        <v>757.24800000000073</v>
      </c>
      <c r="AN31" s="440">
        <f t="shared" si="12"/>
        <v>763.16400000000067</v>
      </c>
      <c r="AO31" s="440">
        <f t="shared" si="12"/>
        <v>769.08000000000072</v>
      </c>
      <c r="AP31" s="440">
        <f t="shared" si="12"/>
        <v>774.99600000000078</v>
      </c>
      <c r="AQ31" s="440">
        <f t="shared" si="12"/>
        <v>780.91200000000083</v>
      </c>
      <c r="AR31" s="440">
        <f t="shared" si="12"/>
        <v>786.82800000000077</v>
      </c>
    </row>
    <row r="32" spans="1:44" x14ac:dyDescent="0.2">
      <c r="A32" s="380"/>
      <c r="B32" s="380"/>
      <c r="C32" s="181"/>
      <c r="D32" s="440"/>
      <c r="E32" s="38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40"/>
      <c r="AO32" s="440"/>
      <c r="AP32" s="440"/>
      <c r="AQ32" s="440"/>
      <c r="AR32" s="440"/>
    </row>
    <row r="33" spans="1:44" ht="15" x14ac:dyDescent="0.25">
      <c r="A33" s="2" t="s">
        <v>270</v>
      </c>
      <c r="B33" s="380"/>
      <c r="C33" s="10"/>
      <c r="D33" s="380"/>
      <c r="E33" s="380"/>
      <c r="F33" s="380"/>
      <c r="G33" s="380"/>
      <c r="H33" s="380"/>
      <c r="I33" s="380"/>
      <c r="J33" s="380"/>
      <c r="K33" s="380"/>
      <c r="L33" s="380"/>
      <c r="M33" s="380"/>
      <c r="N33" s="380"/>
      <c r="O33" s="380"/>
      <c r="P33" s="380"/>
      <c r="Q33" s="380"/>
      <c r="R33" s="380"/>
      <c r="S33" s="380"/>
      <c r="T33" s="380"/>
      <c r="U33" s="380"/>
      <c r="V33" s="380"/>
      <c r="W33" s="380"/>
      <c r="X33" s="380"/>
      <c r="Y33" s="380"/>
      <c r="Z33" s="380"/>
      <c r="AA33" s="380"/>
      <c r="AB33" s="380"/>
      <c r="AC33" s="380"/>
      <c r="AD33" s="380"/>
      <c r="AE33" s="380"/>
      <c r="AF33" s="380"/>
      <c r="AG33" s="380"/>
      <c r="AH33" s="380"/>
      <c r="AI33" s="380"/>
      <c r="AJ33" s="380"/>
      <c r="AK33" s="380"/>
      <c r="AL33" s="380"/>
      <c r="AM33" s="380"/>
      <c r="AN33" s="380"/>
      <c r="AO33" s="380"/>
      <c r="AP33" s="380"/>
      <c r="AQ33" s="380"/>
      <c r="AR33" s="380"/>
    </row>
    <row r="34" spans="1:44" ht="15" x14ac:dyDescent="0.25">
      <c r="A34" s="2"/>
      <c r="B34" s="380" t="s">
        <v>110</v>
      </c>
      <c r="C34" s="11" t="s">
        <v>54</v>
      </c>
      <c r="D34" s="428">
        <f>Inputs!E56</f>
        <v>2023</v>
      </c>
      <c r="E34" s="380"/>
      <c r="F34" s="380"/>
      <c r="G34" s="380"/>
      <c r="H34" s="380"/>
      <c r="I34" s="380"/>
      <c r="J34" s="380"/>
      <c r="K34" s="380"/>
      <c r="L34" s="380"/>
      <c r="M34" s="380"/>
      <c r="N34" s="380"/>
      <c r="O34" s="380"/>
      <c r="P34" s="380"/>
      <c r="Q34" s="380"/>
      <c r="R34" s="380"/>
      <c r="S34" s="380"/>
      <c r="T34" s="380"/>
      <c r="U34" s="380"/>
      <c r="V34" s="380"/>
      <c r="W34" s="380"/>
      <c r="X34" s="380"/>
      <c r="Y34" s="380"/>
      <c r="Z34" s="380"/>
      <c r="AA34" s="380"/>
      <c r="AB34" s="380"/>
      <c r="AC34" s="380"/>
      <c r="AD34" s="380"/>
      <c r="AE34" s="380"/>
      <c r="AF34" s="380"/>
      <c r="AG34" s="380"/>
      <c r="AH34" s="380"/>
      <c r="AI34" s="380"/>
      <c r="AJ34" s="380"/>
      <c r="AK34" s="380"/>
      <c r="AL34" s="380"/>
      <c r="AM34" s="380"/>
      <c r="AN34" s="380"/>
      <c r="AO34" s="380"/>
      <c r="AP34" s="380"/>
      <c r="AQ34" s="380"/>
      <c r="AR34" s="380"/>
    </row>
    <row r="35" spans="1:44" ht="15" x14ac:dyDescent="0.25">
      <c r="A35" s="2"/>
      <c r="B35" s="380" t="s">
        <v>111</v>
      </c>
      <c r="C35" s="11" t="s">
        <v>112</v>
      </c>
      <c r="D35" s="417">
        <f>Inputs!E57</f>
        <v>7702</v>
      </c>
      <c r="E35" s="380"/>
      <c r="F35" s="417">
        <f t="shared" ref="F35:AR35" si="13">IF(F7=$D$34,$D$35,0)</f>
        <v>0</v>
      </c>
      <c r="G35" s="417">
        <f t="shared" si="13"/>
        <v>0</v>
      </c>
      <c r="H35" s="417">
        <f t="shared" si="13"/>
        <v>0</v>
      </c>
      <c r="I35" s="417">
        <f t="shared" si="13"/>
        <v>0</v>
      </c>
      <c r="J35" s="417">
        <f t="shared" si="13"/>
        <v>0</v>
      </c>
      <c r="K35" s="417">
        <f t="shared" si="13"/>
        <v>7702</v>
      </c>
      <c r="L35" s="417">
        <f t="shared" si="13"/>
        <v>0</v>
      </c>
      <c r="M35" s="417">
        <f t="shared" si="13"/>
        <v>0</v>
      </c>
      <c r="N35" s="417">
        <f t="shared" si="13"/>
        <v>0</v>
      </c>
      <c r="O35" s="417">
        <f t="shared" si="13"/>
        <v>0</v>
      </c>
      <c r="P35" s="417">
        <f t="shared" si="13"/>
        <v>0</v>
      </c>
      <c r="Q35" s="417">
        <f t="shared" si="13"/>
        <v>0</v>
      </c>
      <c r="R35" s="417">
        <f t="shared" si="13"/>
        <v>0</v>
      </c>
      <c r="S35" s="417">
        <f t="shared" si="13"/>
        <v>0</v>
      </c>
      <c r="T35" s="417">
        <f t="shared" si="13"/>
        <v>0</v>
      </c>
      <c r="U35" s="417">
        <f t="shared" si="13"/>
        <v>0</v>
      </c>
      <c r="V35" s="417">
        <f t="shared" si="13"/>
        <v>0</v>
      </c>
      <c r="W35" s="417">
        <f t="shared" si="13"/>
        <v>0</v>
      </c>
      <c r="X35" s="417">
        <f t="shared" si="13"/>
        <v>0</v>
      </c>
      <c r="Y35" s="417">
        <f t="shared" si="13"/>
        <v>0</v>
      </c>
      <c r="Z35" s="417">
        <f t="shared" si="13"/>
        <v>0</v>
      </c>
      <c r="AA35" s="417">
        <f t="shared" si="13"/>
        <v>0</v>
      </c>
      <c r="AB35" s="417">
        <f t="shared" si="13"/>
        <v>0</v>
      </c>
      <c r="AC35" s="417">
        <f t="shared" si="13"/>
        <v>0</v>
      </c>
      <c r="AD35" s="417">
        <f t="shared" si="13"/>
        <v>0</v>
      </c>
      <c r="AE35" s="417">
        <f t="shared" si="13"/>
        <v>0</v>
      </c>
      <c r="AF35" s="417">
        <f t="shared" si="13"/>
        <v>0</v>
      </c>
      <c r="AG35" s="417">
        <f t="shared" si="13"/>
        <v>0</v>
      </c>
      <c r="AH35" s="417">
        <f t="shared" si="13"/>
        <v>0</v>
      </c>
      <c r="AI35" s="417">
        <f t="shared" si="13"/>
        <v>0</v>
      </c>
      <c r="AJ35" s="417">
        <f t="shared" si="13"/>
        <v>0</v>
      </c>
      <c r="AK35" s="417">
        <f t="shared" si="13"/>
        <v>0</v>
      </c>
      <c r="AL35" s="417">
        <f t="shared" si="13"/>
        <v>0</v>
      </c>
      <c r="AM35" s="417">
        <f t="shared" si="13"/>
        <v>0</v>
      </c>
      <c r="AN35" s="417">
        <f t="shared" si="13"/>
        <v>0</v>
      </c>
      <c r="AO35" s="417">
        <f t="shared" si="13"/>
        <v>0</v>
      </c>
      <c r="AP35" s="417">
        <f t="shared" si="13"/>
        <v>0</v>
      </c>
      <c r="AQ35" s="417">
        <f t="shared" si="13"/>
        <v>0</v>
      </c>
      <c r="AR35" s="417">
        <f t="shared" si="13"/>
        <v>0</v>
      </c>
    </row>
    <row r="36" spans="1:44" ht="15" x14ac:dyDescent="0.25">
      <c r="A36" s="2"/>
      <c r="B36" s="380" t="s">
        <v>113</v>
      </c>
      <c r="C36" s="11" t="s">
        <v>54</v>
      </c>
      <c r="D36" s="428">
        <f>Inputs!E58</f>
        <v>2046</v>
      </c>
      <c r="E36" s="380"/>
      <c r="F36" s="380"/>
      <c r="G36" s="380"/>
      <c r="H36" s="380"/>
      <c r="I36" s="380"/>
      <c r="J36" s="380"/>
      <c r="K36" s="380"/>
      <c r="L36" s="380"/>
      <c r="M36" s="380"/>
      <c r="N36" s="380"/>
      <c r="O36" s="380"/>
      <c r="P36" s="380"/>
      <c r="Q36" s="380"/>
      <c r="R36" s="380"/>
      <c r="S36" s="380"/>
      <c r="T36" s="380"/>
      <c r="U36" s="380"/>
      <c r="V36" s="380"/>
      <c r="W36" s="380"/>
      <c r="X36" s="380"/>
      <c r="Y36" s="380"/>
      <c r="Z36" s="380"/>
      <c r="AA36" s="380"/>
      <c r="AB36" s="380"/>
      <c r="AC36" s="380"/>
      <c r="AD36" s="380"/>
      <c r="AE36" s="380"/>
      <c r="AF36" s="380"/>
      <c r="AG36" s="380"/>
      <c r="AH36" s="380"/>
      <c r="AI36" s="380"/>
      <c r="AJ36" s="380"/>
      <c r="AK36" s="380"/>
      <c r="AL36" s="380"/>
      <c r="AM36" s="380"/>
      <c r="AN36" s="380"/>
      <c r="AO36" s="380"/>
      <c r="AP36" s="380"/>
      <c r="AQ36" s="380"/>
      <c r="AR36" s="380"/>
    </row>
    <row r="37" spans="1:44" ht="15" x14ac:dyDescent="0.25">
      <c r="A37" s="2"/>
      <c r="B37" s="380" t="s">
        <v>114</v>
      </c>
      <c r="C37" s="11" t="s">
        <v>112</v>
      </c>
      <c r="D37" s="417">
        <f>Inputs!E59</f>
        <v>9473.4599999999991</v>
      </c>
      <c r="E37" s="380"/>
      <c r="F37" s="417">
        <f t="shared" ref="F37" si="14">IF(F22=$D$21,$D$22,0)</f>
        <v>0</v>
      </c>
      <c r="G37" s="417">
        <f t="shared" ref="G37:AR37" si="15">IF(G7=$D$36,$D$37,0)</f>
        <v>0</v>
      </c>
      <c r="H37" s="417">
        <f t="shared" si="15"/>
        <v>0</v>
      </c>
      <c r="I37" s="417">
        <f t="shared" si="15"/>
        <v>0</v>
      </c>
      <c r="J37" s="417">
        <f t="shared" si="15"/>
        <v>0</v>
      </c>
      <c r="K37" s="417">
        <f t="shared" si="15"/>
        <v>0</v>
      </c>
      <c r="L37" s="417">
        <f t="shared" si="15"/>
        <v>0</v>
      </c>
      <c r="M37" s="417">
        <f t="shared" si="15"/>
        <v>0</v>
      </c>
      <c r="N37" s="417">
        <f t="shared" si="15"/>
        <v>0</v>
      </c>
      <c r="O37" s="417">
        <f t="shared" si="15"/>
        <v>0</v>
      </c>
      <c r="P37" s="417">
        <f t="shared" si="15"/>
        <v>0</v>
      </c>
      <c r="Q37" s="417">
        <f t="shared" si="15"/>
        <v>0</v>
      </c>
      <c r="R37" s="417">
        <f t="shared" si="15"/>
        <v>0</v>
      </c>
      <c r="S37" s="417">
        <f t="shared" si="15"/>
        <v>0</v>
      </c>
      <c r="T37" s="417">
        <f t="shared" si="15"/>
        <v>0</v>
      </c>
      <c r="U37" s="417">
        <f t="shared" si="15"/>
        <v>0</v>
      </c>
      <c r="V37" s="417">
        <f t="shared" si="15"/>
        <v>0</v>
      </c>
      <c r="W37" s="417">
        <f t="shared" si="15"/>
        <v>0</v>
      </c>
      <c r="X37" s="417">
        <f t="shared" si="15"/>
        <v>0</v>
      </c>
      <c r="Y37" s="417">
        <f t="shared" si="15"/>
        <v>0</v>
      </c>
      <c r="Z37" s="417">
        <f t="shared" si="15"/>
        <v>0</v>
      </c>
      <c r="AA37" s="417">
        <f t="shared" si="15"/>
        <v>0</v>
      </c>
      <c r="AB37" s="417">
        <f t="shared" si="15"/>
        <v>0</v>
      </c>
      <c r="AC37" s="417">
        <f t="shared" si="15"/>
        <v>0</v>
      </c>
      <c r="AD37" s="417">
        <f t="shared" si="15"/>
        <v>0</v>
      </c>
      <c r="AE37" s="417">
        <f t="shared" si="15"/>
        <v>0</v>
      </c>
      <c r="AF37" s="417">
        <f t="shared" si="15"/>
        <v>0</v>
      </c>
      <c r="AG37" s="417">
        <f t="shared" si="15"/>
        <v>0</v>
      </c>
      <c r="AH37" s="417">
        <f t="shared" si="15"/>
        <v>9473.4599999999991</v>
      </c>
      <c r="AI37" s="417">
        <f t="shared" si="15"/>
        <v>0</v>
      </c>
      <c r="AJ37" s="417">
        <f t="shared" si="15"/>
        <v>0</v>
      </c>
      <c r="AK37" s="417">
        <f t="shared" si="15"/>
        <v>0</v>
      </c>
      <c r="AL37" s="417">
        <f t="shared" si="15"/>
        <v>0</v>
      </c>
      <c r="AM37" s="417">
        <f t="shared" si="15"/>
        <v>0</v>
      </c>
      <c r="AN37" s="417">
        <f t="shared" si="15"/>
        <v>0</v>
      </c>
      <c r="AO37" s="417">
        <f t="shared" si="15"/>
        <v>0</v>
      </c>
      <c r="AP37" s="417">
        <f t="shared" si="15"/>
        <v>0</v>
      </c>
      <c r="AQ37" s="417">
        <f t="shared" si="15"/>
        <v>0</v>
      </c>
      <c r="AR37" s="417">
        <f t="shared" si="15"/>
        <v>0</v>
      </c>
    </row>
    <row r="38" spans="1:44" ht="15" x14ac:dyDescent="0.25">
      <c r="A38" s="2"/>
      <c r="B38" s="380" t="s">
        <v>262</v>
      </c>
      <c r="C38" s="11" t="s">
        <v>76</v>
      </c>
      <c r="D38" s="451">
        <f>(D37/D35)^(1/(D36-D34))-1</f>
        <v>9.041243403814514E-3</v>
      </c>
      <c r="E38" s="380"/>
      <c r="F38" s="380"/>
      <c r="G38" s="380"/>
      <c r="H38" s="380"/>
      <c r="I38" s="380"/>
      <c r="J38" s="380"/>
      <c r="K38" s="380"/>
      <c r="L38" s="380"/>
      <c r="M38" s="380"/>
      <c r="N38" s="380"/>
      <c r="O38" s="380"/>
      <c r="P38" s="380"/>
      <c r="Q38" s="380"/>
      <c r="R38" s="380"/>
      <c r="S38" s="380"/>
      <c r="T38" s="380"/>
      <c r="U38" s="380"/>
      <c r="V38" s="380"/>
      <c r="W38" s="380"/>
      <c r="X38" s="380"/>
      <c r="Y38" s="380"/>
      <c r="Z38" s="380"/>
      <c r="AA38" s="380"/>
      <c r="AB38" s="380"/>
      <c r="AC38" s="380"/>
      <c r="AD38" s="380"/>
      <c r="AE38" s="380"/>
      <c r="AF38" s="380"/>
      <c r="AG38" s="380"/>
      <c r="AH38" s="380"/>
      <c r="AI38" s="380"/>
      <c r="AJ38" s="380"/>
      <c r="AK38" s="380"/>
      <c r="AL38" s="380"/>
      <c r="AM38" s="380"/>
      <c r="AN38" s="380"/>
      <c r="AO38" s="380"/>
      <c r="AP38" s="380"/>
      <c r="AQ38" s="380"/>
      <c r="AR38" s="380"/>
    </row>
    <row r="39" spans="1:44" ht="15" x14ac:dyDescent="0.25">
      <c r="A39" s="2"/>
      <c r="B39" s="380" t="s">
        <v>263</v>
      </c>
      <c r="C39" s="11" t="s">
        <v>264</v>
      </c>
      <c r="D39" s="452">
        <f>(D37-D35)/(D36-D34)</f>
        <v>77.019999999999968</v>
      </c>
      <c r="E39" s="380"/>
      <c r="F39" s="380"/>
      <c r="G39" s="380"/>
      <c r="H39" s="380"/>
      <c r="I39" s="380"/>
      <c r="J39" s="380"/>
      <c r="K39" s="380"/>
      <c r="L39" s="380"/>
      <c r="M39" s="380"/>
      <c r="N39" s="380"/>
      <c r="O39" s="380"/>
      <c r="P39" s="380"/>
      <c r="Q39" s="380"/>
      <c r="R39" s="380"/>
      <c r="S39" s="380"/>
      <c r="T39" s="380"/>
      <c r="U39" s="380"/>
      <c r="V39" s="380"/>
      <c r="W39" s="380"/>
      <c r="X39" s="380"/>
      <c r="Y39" s="380"/>
      <c r="Z39" s="380"/>
      <c r="AA39" s="380"/>
      <c r="AB39" s="380"/>
      <c r="AC39" s="380"/>
      <c r="AD39" s="380"/>
      <c r="AE39" s="380"/>
      <c r="AF39" s="380"/>
      <c r="AG39" s="380"/>
      <c r="AH39" s="380"/>
      <c r="AI39" s="380"/>
      <c r="AJ39" s="380"/>
      <c r="AK39" s="380"/>
      <c r="AL39" s="380"/>
      <c r="AM39" s="380"/>
      <c r="AN39" s="380"/>
      <c r="AO39" s="380"/>
      <c r="AP39" s="380"/>
      <c r="AQ39" s="380"/>
      <c r="AR39" s="380"/>
    </row>
    <row r="40" spans="1:44" ht="15" x14ac:dyDescent="0.25">
      <c r="A40" s="2"/>
      <c r="B40" s="380" t="s">
        <v>265</v>
      </c>
      <c r="C40" s="11" t="s">
        <v>54</v>
      </c>
      <c r="D40" s="380">
        <f>F7</f>
        <v>2018</v>
      </c>
      <c r="E40" s="380"/>
      <c r="F40" s="380"/>
      <c r="G40" s="380"/>
      <c r="H40" s="380"/>
      <c r="I40" s="380"/>
      <c r="J40" s="380"/>
      <c r="K40" s="380"/>
      <c r="L40" s="380"/>
      <c r="M40" s="380"/>
      <c r="N40" s="380"/>
      <c r="O40" s="380"/>
      <c r="P40" s="380"/>
      <c r="Q40" s="380"/>
      <c r="R40" s="380"/>
      <c r="S40" s="380"/>
      <c r="T40" s="380"/>
      <c r="U40" s="380"/>
      <c r="V40" s="380"/>
      <c r="W40" s="380"/>
      <c r="X40" s="380"/>
      <c r="Y40" s="380"/>
      <c r="Z40" s="380"/>
      <c r="AA40" s="380"/>
      <c r="AB40" s="380"/>
      <c r="AC40" s="380"/>
      <c r="AD40" s="380"/>
      <c r="AE40" s="380"/>
      <c r="AF40" s="380"/>
      <c r="AG40" s="380"/>
      <c r="AH40" s="380"/>
      <c r="AI40" s="380"/>
      <c r="AJ40" s="380"/>
      <c r="AK40" s="380"/>
      <c r="AL40" s="380"/>
      <c r="AM40" s="380"/>
      <c r="AN40" s="380"/>
      <c r="AO40" s="380"/>
      <c r="AP40" s="380"/>
      <c r="AQ40" s="380"/>
      <c r="AR40" s="380"/>
    </row>
    <row r="41" spans="1:44" ht="15" x14ac:dyDescent="0.25">
      <c r="A41" s="2"/>
      <c r="B41" s="380" t="s">
        <v>266</v>
      </c>
      <c r="C41" s="11" t="s">
        <v>112</v>
      </c>
      <c r="D41" s="440">
        <f>D35-D39*(D34-D40)</f>
        <v>7316.9000000000005</v>
      </c>
      <c r="E41" s="380"/>
      <c r="F41" s="417">
        <f t="shared" ref="F41:AR41" si="16">IF(F7=$D$40,$D$41,0)</f>
        <v>7316.9000000000005</v>
      </c>
      <c r="G41" s="417">
        <f t="shared" si="16"/>
        <v>0</v>
      </c>
      <c r="H41" s="417">
        <f t="shared" si="16"/>
        <v>0</v>
      </c>
      <c r="I41" s="417">
        <f t="shared" si="16"/>
        <v>0</v>
      </c>
      <c r="J41" s="417">
        <f t="shared" si="16"/>
        <v>0</v>
      </c>
      <c r="K41" s="417">
        <f t="shared" si="16"/>
        <v>0</v>
      </c>
      <c r="L41" s="417">
        <f t="shared" si="16"/>
        <v>0</v>
      </c>
      <c r="M41" s="417">
        <f t="shared" si="16"/>
        <v>0</v>
      </c>
      <c r="N41" s="417">
        <f t="shared" si="16"/>
        <v>0</v>
      </c>
      <c r="O41" s="417">
        <f t="shared" si="16"/>
        <v>0</v>
      </c>
      <c r="P41" s="417">
        <f t="shared" si="16"/>
        <v>0</v>
      </c>
      <c r="Q41" s="417">
        <f t="shared" si="16"/>
        <v>0</v>
      </c>
      <c r="R41" s="417">
        <f t="shared" si="16"/>
        <v>0</v>
      </c>
      <c r="S41" s="417">
        <f t="shared" si="16"/>
        <v>0</v>
      </c>
      <c r="T41" s="417">
        <f t="shared" si="16"/>
        <v>0</v>
      </c>
      <c r="U41" s="417">
        <f t="shared" si="16"/>
        <v>0</v>
      </c>
      <c r="V41" s="417">
        <f t="shared" si="16"/>
        <v>0</v>
      </c>
      <c r="W41" s="417">
        <f t="shared" si="16"/>
        <v>0</v>
      </c>
      <c r="X41" s="417">
        <f t="shared" si="16"/>
        <v>0</v>
      </c>
      <c r="Y41" s="417">
        <f t="shared" si="16"/>
        <v>0</v>
      </c>
      <c r="Z41" s="417">
        <f t="shared" si="16"/>
        <v>0</v>
      </c>
      <c r="AA41" s="417">
        <f t="shared" si="16"/>
        <v>0</v>
      </c>
      <c r="AB41" s="417">
        <f t="shared" si="16"/>
        <v>0</v>
      </c>
      <c r="AC41" s="417">
        <f t="shared" si="16"/>
        <v>0</v>
      </c>
      <c r="AD41" s="417">
        <f t="shared" si="16"/>
        <v>0</v>
      </c>
      <c r="AE41" s="417">
        <f t="shared" si="16"/>
        <v>0</v>
      </c>
      <c r="AF41" s="417">
        <f t="shared" si="16"/>
        <v>0</v>
      </c>
      <c r="AG41" s="417">
        <f t="shared" si="16"/>
        <v>0</v>
      </c>
      <c r="AH41" s="417">
        <f t="shared" si="16"/>
        <v>0</v>
      </c>
      <c r="AI41" s="417">
        <f t="shared" si="16"/>
        <v>0</v>
      </c>
      <c r="AJ41" s="417">
        <f t="shared" si="16"/>
        <v>0</v>
      </c>
      <c r="AK41" s="417">
        <f t="shared" si="16"/>
        <v>0</v>
      </c>
      <c r="AL41" s="417">
        <f t="shared" si="16"/>
        <v>0</v>
      </c>
      <c r="AM41" s="417">
        <f t="shared" si="16"/>
        <v>0</v>
      </c>
      <c r="AN41" s="417">
        <f t="shared" si="16"/>
        <v>0</v>
      </c>
      <c r="AO41" s="417">
        <f t="shared" si="16"/>
        <v>0</v>
      </c>
      <c r="AP41" s="417">
        <f t="shared" si="16"/>
        <v>0</v>
      </c>
      <c r="AQ41" s="417">
        <f t="shared" si="16"/>
        <v>0</v>
      </c>
      <c r="AR41" s="417">
        <f t="shared" si="16"/>
        <v>0</v>
      </c>
    </row>
    <row r="42" spans="1:44" ht="15" x14ac:dyDescent="0.25">
      <c r="A42" s="2"/>
      <c r="B42" s="380" t="s">
        <v>103</v>
      </c>
      <c r="C42" s="181" t="s">
        <v>76</v>
      </c>
      <c r="D42" s="445">
        <f>Inputs!$E$47</f>
        <v>0.03</v>
      </c>
      <c r="E42" s="380"/>
      <c r="F42" s="417"/>
      <c r="G42" s="417"/>
      <c r="H42" s="417"/>
      <c r="I42" s="417"/>
      <c r="J42" s="417"/>
      <c r="K42" s="417"/>
      <c r="L42" s="417"/>
      <c r="M42" s="417"/>
      <c r="N42" s="417"/>
      <c r="O42" s="417"/>
      <c r="P42" s="417"/>
      <c r="Q42" s="417"/>
      <c r="R42" s="417"/>
      <c r="S42" s="417"/>
      <c r="T42" s="417"/>
      <c r="U42" s="417"/>
      <c r="V42" s="417"/>
      <c r="W42" s="417"/>
      <c r="X42" s="417"/>
      <c r="Y42" s="417"/>
      <c r="Z42" s="417"/>
      <c r="AA42" s="417"/>
      <c r="AB42" s="417"/>
      <c r="AC42" s="417"/>
      <c r="AD42" s="417"/>
      <c r="AE42" s="417"/>
      <c r="AF42" s="417"/>
      <c r="AG42" s="417"/>
      <c r="AH42" s="417"/>
      <c r="AI42" s="417"/>
      <c r="AJ42" s="417"/>
      <c r="AK42" s="417"/>
      <c r="AL42" s="417"/>
      <c r="AM42" s="417"/>
      <c r="AN42" s="417"/>
      <c r="AO42" s="417"/>
      <c r="AP42" s="417"/>
      <c r="AQ42" s="417"/>
      <c r="AR42" s="417"/>
    </row>
    <row r="43" spans="1:44" ht="15" x14ac:dyDescent="0.25">
      <c r="A43" s="2"/>
      <c r="B43" s="380"/>
      <c r="C43" s="181"/>
      <c r="D43" s="445"/>
      <c r="E43" s="380"/>
      <c r="F43" s="417"/>
      <c r="G43" s="417"/>
      <c r="H43" s="417"/>
      <c r="I43" s="417"/>
      <c r="J43" s="417"/>
      <c r="K43" s="417"/>
      <c r="L43" s="417"/>
      <c r="M43" s="417"/>
      <c r="N43" s="417"/>
      <c r="O43" s="417"/>
      <c r="P43" s="417"/>
      <c r="Q43" s="417"/>
      <c r="R43" s="417"/>
      <c r="S43" s="417"/>
      <c r="T43" s="417"/>
      <c r="U43" s="417"/>
      <c r="V43" s="417"/>
      <c r="W43" s="417"/>
      <c r="X43" s="417"/>
      <c r="Y43" s="417"/>
      <c r="Z43" s="417"/>
      <c r="AA43" s="417"/>
      <c r="AB43" s="417"/>
      <c r="AC43" s="417"/>
      <c r="AD43" s="417"/>
      <c r="AE43" s="417"/>
      <c r="AF43" s="417"/>
      <c r="AG43" s="417"/>
      <c r="AH43" s="417"/>
      <c r="AI43" s="417"/>
      <c r="AJ43" s="417"/>
      <c r="AK43" s="417"/>
      <c r="AL43" s="417"/>
      <c r="AM43" s="417"/>
      <c r="AN43" s="417"/>
      <c r="AO43" s="417"/>
      <c r="AP43" s="417"/>
      <c r="AQ43" s="417"/>
      <c r="AR43" s="417"/>
    </row>
    <row r="44" spans="1:44" x14ac:dyDescent="0.2">
      <c r="A44" s="380"/>
      <c r="B44" s="380" t="s">
        <v>267</v>
      </c>
      <c r="C44" s="181" t="s">
        <v>112</v>
      </c>
      <c r="D44" s="440">
        <f>SUM(F44:AR44)</f>
        <v>342430.92000000004</v>
      </c>
      <c r="E44" s="380"/>
      <c r="F44" s="440">
        <f>F41</f>
        <v>7316.9000000000005</v>
      </c>
      <c r="G44" s="440">
        <f>F44+$D$39</f>
        <v>7393.92</v>
      </c>
      <c r="H44" s="440">
        <f t="shared" ref="H44:AR44" si="17">G44+$D$39</f>
        <v>7470.94</v>
      </c>
      <c r="I44" s="440">
        <f t="shared" si="17"/>
        <v>7547.9599999999991</v>
      </c>
      <c r="J44" s="440">
        <f t="shared" si="17"/>
        <v>7624.9799999999987</v>
      </c>
      <c r="K44" s="440">
        <f t="shared" si="17"/>
        <v>7701.9999999999982</v>
      </c>
      <c r="L44" s="440">
        <f t="shared" si="17"/>
        <v>7779.0199999999977</v>
      </c>
      <c r="M44" s="440">
        <f t="shared" si="17"/>
        <v>7856.0399999999972</v>
      </c>
      <c r="N44" s="440">
        <f t="shared" si="17"/>
        <v>7933.0599999999968</v>
      </c>
      <c r="O44" s="440">
        <f t="shared" si="17"/>
        <v>8010.0799999999963</v>
      </c>
      <c r="P44" s="440">
        <f t="shared" si="17"/>
        <v>8087.0999999999958</v>
      </c>
      <c r="Q44" s="440">
        <f t="shared" si="17"/>
        <v>8164.1199999999953</v>
      </c>
      <c r="R44" s="440">
        <f t="shared" si="17"/>
        <v>8241.1399999999958</v>
      </c>
      <c r="S44" s="440">
        <f t="shared" si="17"/>
        <v>8318.1599999999962</v>
      </c>
      <c r="T44" s="440">
        <f t="shared" si="17"/>
        <v>8395.1799999999967</v>
      </c>
      <c r="U44" s="440">
        <f t="shared" si="17"/>
        <v>8472.1999999999971</v>
      </c>
      <c r="V44" s="440">
        <f t="shared" si="17"/>
        <v>8549.2199999999975</v>
      </c>
      <c r="W44" s="440">
        <f t="shared" si="17"/>
        <v>8626.239999999998</v>
      </c>
      <c r="X44" s="440">
        <f t="shared" si="17"/>
        <v>8703.2599999999984</v>
      </c>
      <c r="Y44" s="440">
        <f t="shared" si="17"/>
        <v>8780.2799999999988</v>
      </c>
      <c r="Z44" s="440">
        <f t="shared" si="17"/>
        <v>8857.2999999999993</v>
      </c>
      <c r="AA44" s="440">
        <f t="shared" si="17"/>
        <v>8934.32</v>
      </c>
      <c r="AB44" s="440">
        <f t="shared" si="17"/>
        <v>9011.34</v>
      </c>
      <c r="AC44" s="440">
        <f t="shared" si="17"/>
        <v>9088.36</v>
      </c>
      <c r="AD44" s="440">
        <f t="shared" si="17"/>
        <v>9165.380000000001</v>
      </c>
      <c r="AE44" s="440">
        <f t="shared" si="17"/>
        <v>9242.4000000000015</v>
      </c>
      <c r="AF44" s="440">
        <f t="shared" si="17"/>
        <v>9319.4200000000019</v>
      </c>
      <c r="AG44" s="440">
        <f t="shared" si="17"/>
        <v>9396.4400000000023</v>
      </c>
      <c r="AH44" s="440">
        <f t="shared" si="17"/>
        <v>9473.4600000000028</v>
      </c>
      <c r="AI44" s="440">
        <f t="shared" si="17"/>
        <v>9550.4800000000032</v>
      </c>
      <c r="AJ44" s="440">
        <f t="shared" si="17"/>
        <v>9627.5000000000036</v>
      </c>
      <c r="AK44" s="440">
        <f t="shared" si="17"/>
        <v>9704.5200000000041</v>
      </c>
      <c r="AL44" s="440">
        <f t="shared" si="17"/>
        <v>9781.5400000000045</v>
      </c>
      <c r="AM44" s="440">
        <f t="shared" si="17"/>
        <v>9858.5600000000049</v>
      </c>
      <c r="AN44" s="440">
        <f t="shared" si="17"/>
        <v>9935.5800000000054</v>
      </c>
      <c r="AO44" s="440">
        <f t="shared" si="17"/>
        <v>10012.600000000006</v>
      </c>
      <c r="AP44" s="440">
        <f t="shared" si="17"/>
        <v>10089.620000000006</v>
      </c>
      <c r="AQ44" s="440">
        <f t="shared" si="17"/>
        <v>10166.640000000007</v>
      </c>
      <c r="AR44" s="440">
        <f t="shared" si="17"/>
        <v>10243.660000000007</v>
      </c>
    </row>
    <row r="45" spans="1:44" x14ac:dyDescent="0.2">
      <c r="A45" s="380"/>
      <c r="B45" s="380" t="s">
        <v>268</v>
      </c>
      <c r="C45" s="181" t="s">
        <v>112</v>
      </c>
      <c r="D45" s="440">
        <f>SUM(F45:AR45)</f>
        <v>332157.99239999999</v>
      </c>
      <c r="E45" s="380"/>
      <c r="F45" s="440">
        <f t="shared" ref="F45:AR45" si="18">F44*(1-$D$27)</f>
        <v>7097.393</v>
      </c>
      <c r="G45" s="440">
        <f t="shared" si="18"/>
        <v>7172.1023999999998</v>
      </c>
      <c r="H45" s="440">
        <f t="shared" si="18"/>
        <v>7246.8117999999995</v>
      </c>
      <c r="I45" s="440">
        <f t="shared" si="18"/>
        <v>7321.5211999999992</v>
      </c>
      <c r="J45" s="440">
        <f t="shared" si="18"/>
        <v>7396.230599999998</v>
      </c>
      <c r="K45" s="440">
        <f t="shared" si="18"/>
        <v>7470.9399999999978</v>
      </c>
      <c r="L45" s="440">
        <f t="shared" si="18"/>
        <v>7545.6493999999975</v>
      </c>
      <c r="M45" s="440">
        <f t="shared" si="18"/>
        <v>7620.3587999999972</v>
      </c>
      <c r="N45" s="440">
        <f t="shared" si="18"/>
        <v>7695.068199999997</v>
      </c>
      <c r="O45" s="440">
        <f t="shared" si="18"/>
        <v>7769.7775999999958</v>
      </c>
      <c r="P45" s="440">
        <f t="shared" si="18"/>
        <v>7844.4869999999955</v>
      </c>
      <c r="Q45" s="440">
        <f t="shared" si="18"/>
        <v>7919.1963999999953</v>
      </c>
      <c r="R45" s="440">
        <f t="shared" si="18"/>
        <v>7993.9057999999959</v>
      </c>
      <c r="S45" s="440">
        <f t="shared" si="18"/>
        <v>8068.6151999999965</v>
      </c>
      <c r="T45" s="440">
        <f t="shared" si="18"/>
        <v>8143.3245999999963</v>
      </c>
      <c r="U45" s="440">
        <f t="shared" si="18"/>
        <v>8218.0339999999978</v>
      </c>
      <c r="V45" s="440">
        <f t="shared" si="18"/>
        <v>8292.7433999999976</v>
      </c>
      <c r="W45" s="440">
        <f t="shared" si="18"/>
        <v>8367.4527999999973</v>
      </c>
      <c r="X45" s="440">
        <f t="shared" si="18"/>
        <v>8442.1621999999988</v>
      </c>
      <c r="Y45" s="440">
        <f t="shared" si="18"/>
        <v>8516.8715999999986</v>
      </c>
      <c r="Z45" s="440">
        <f t="shared" si="18"/>
        <v>8591.5809999999983</v>
      </c>
      <c r="AA45" s="440">
        <f t="shared" si="18"/>
        <v>8666.2903999999999</v>
      </c>
      <c r="AB45" s="440">
        <f t="shared" si="18"/>
        <v>8740.9997999999996</v>
      </c>
      <c r="AC45" s="440">
        <f t="shared" si="18"/>
        <v>8815.7092000000011</v>
      </c>
      <c r="AD45" s="440">
        <f t="shared" si="18"/>
        <v>8890.4186000000009</v>
      </c>
      <c r="AE45" s="440">
        <f t="shared" si="18"/>
        <v>8965.1280000000006</v>
      </c>
      <c r="AF45" s="440">
        <f t="shared" si="18"/>
        <v>9039.8374000000022</v>
      </c>
      <c r="AG45" s="440">
        <f t="shared" si="18"/>
        <v>9114.5468000000019</v>
      </c>
      <c r="AH45" s="440">
        <f t="shared" si="18"/>
        <v>9189.2562000000016</v>
      </c>
      <c r="AI45" s="440">
        <f t="shared" si="18"/>
        <v>9263.9656000000032</v>
      </c>
      <c r="AJ45" s="440">
        <f t="shared" si="18"/>
        <v>9338.6750000000029</v>
      </c>
      <c r="AK45" s="440">
        <f t="shared" si="18"/>
        <v>9413.3844000000045</v>
      </c>
      <c r="AL45" s="440">
        <f t="shared" si="18"/>
        <v>9488.0938000000042</v>
      </c>
      <c r="AM45" s="440">
        <f t="shared" si="18"/>
        <v>9562.8032000000039</v>
      </c>
      <c r="AN45" s="440">
        <f t="shared" si="18"/>
        <v>9637.5126000000055</v>
      </c>
      <c r="AO45" s="440">
        <f t="shared" si="18"/>
        <v>9712.2220000000052</v>
      </c>
      <c r="AP45" s="440">
        <f t="shared" si="18"/>
        <v>9786.9314000000049</v>
      </c>
      <c r="AQ45" s="440">
        <f t="shared" si="18"/>
        <v>9861.6408000000065</v>
      </c>
      <c r="AR45" s="440">
        <f t="shared" si="18"/>
        <v>9936.3502000000062</v>
      </c>
    </row>
    <row r="46" spans="1:44" x14ac:dyDescent="0.2">
      <c r="A46" s="380"/>
      <c r="B46" s="380" t="s">
        <v>269</v>
      </c>
      <c r="C46" s="181" t="s">
        <v>112</v>
      </c>
      <c r="D46" s="440">
        <f>SUM(F46:AR46)</f>
        <v>10272.927600000001</v>
      </c>
      <c r="E46" s="380"/>
      <c r="F46" s="440">
        <f t="shared" ref="F46:AR46" si="19">F44*$D$27</f>
        <v>219.50700000000001</v>
      </c>
      <c r="G46" s="440">
        <f t="shared" si="19"/>
        <v>221.8176</v>
      </c>
      <c r="H46" s="440">
        <f t="shared" si="19"/>
        <v>224.12819999999999</v>
      </c>
      <c r="I46" s="440">
        <f t="shared" si="19"/>
        <v>226.43879999999996</v>
      </c>
      <c r="J46" s="440">
        <f t="shared" si="19"/>
        <v>228.74939999999995</v>
      </c>
      <c r="K46" s="440">
        <f t="shared" si="19"/>
        <v>231.05999999999995</v>
      </c>
      <c r="L46" s="440">
        <f t="shared" si="19"/>
        <v>233.37059999999991</v>
      </c>
      <c r="M46" s="440">
        <f t="shared" si="19"/>
        <v>235.6811999999999</v>
      </c>
      <c r="N46" s="440">
        <f t="shared" si="19"/>
        <v>237.9917999999999</v>
      </c>
      <c r="O46" s="440">
        <f t="shared" si="19"/>
        <v>240.30239999999989</v>
      </c>
      <c r="P46" s="440">
        <f t="shared" si="19"/>
        <v>242.61299999999986</v>
      </c>
      <c r="Q46" s="440">
        <f t="shared" si="19"/>
        <v>244.92359999999985</v>
      </c>
      <c r="R46" s="440">
        <f t="shared" si="19"/>
        <v>247.23419999999987</v>
      </c>
      <c r="S46" s="440">
        <f t="shared" si="19"/>
        <v>249.54479999999987</v>
      </c>
      <c r="T46" s="440">
        <f t="shared" si="19"/>
        <v>251.85539999999989</v>
      </c>
      <c r="U46" s="440">
        <f t="shared" si="19"/>
        <v>254.16599999999991</v>
      </c>
      <c r="V46" s="440">
        <f t="shared" si="19"/>
        <v>256.47659999999991</v>
      </c>
      <c r="W46" s="440">
        <f t="shared" si="19"/>
        <v>258.78719999999993</v>
      </c>
      <c r="X46" s="440">
        <f t="shared" si="19"/>
        <v>261.09779999999995</v>
      </c>
      <c r="Y46" s="440">
        <f t="shared" si="19"/>
        <v>263.40839999999997</v>
      </c>
      <c r="Z46" s="440">
        <f t="shared" si="19"/>
        <v>265.71899999999999</v>
      </c>
      <c r="AA46" s="440">
        <f t="shared" si="19"/>
        <v>268.02959999999996</v>
      </c>
      <c r="AB46" s="440">
        <f t="shared" si="19"/>
        <v>270.34019999999998</v>
      </c>
      <c r="AC46" s="440">
        <f t="shared" si="19"/>
        <v>272.6508</v>
      </c>
      <c r="AD46" s="440">
        <f t="shared" si="19"/>
        <v>274.96140000000003</v>
      </c>
      <c r="AE46" s="440">
        <f t="shared" si="19"/>
        <v>277.27200000000005</v>
      </c>
      <c r="AF46" s="440">
        <f t="shared" si="19"/>
        <v>279.58260000000007</v>
      </c>
      <c r="AG46" s="440">
        <f t="shared" si="19"/>
        <v>281.89320000000004</v>
      </c>
      <c r="AH46" s="440">
        <f t="shared" si="19"/>
        <v>284.20380000000006</v>
      </c>
      <c r="AI46" s="440">
        <f t="shared" si="19"/>
        <v>286.51440000000008</v>
      </c>
      <c r="AJ46" s="440">
        <f t="shared" si="19"/>
        <v>288.8250000000001</v>
      </c>
      <c r="AK46" s="440">
        <f t="shared" si="19"/>
        <v>291.13560000000012</v>
      </c>
      <c r="AL46" s="440">
        <f t="shared" si="19"/>
        <v>293.44620000000015</v>
      </c>
      <c r="AM46" s="440">
        <f t="shared" si="19"/>
        <v>295.75680000000011</v>
      </c>
      <c r="AN46" s="440">
        <f t="shared" si="19"/>
        <v>298.06740000000013</v>
      </c>
      <c r="AO46" s="440">
        <f t="shared" si="19"/>
        <v>300.37800000000016</v>
      </c>
      <c r="AP46" s="440">
        <f t="shared" si="19"/>
        <v>302.68860000000018</v>
      </c>
      <c r="AQ46" s="440">
        <f t="shared" si="19"/>
        <v>304.9992000000002</v>
      </c>
      <c r="AR46" s="440">
        <f t="shared" si="19"/>
        <v>307.30980000000022</v>
      </c>
    </row>
    <row r="47" spans="1:44" x14ac:dyDescent="0.2">
      <c r="A47" s="380"/>
      <c r="B47" s="380"/>
      <c r="C47" s="181"/>
      <c r="D47" s="440"/>
      <c r="E47" s="380"/>
      <c r="F47" s="440"/>
      <c r="G47" s="440"/>
      <c r="H47" s="440"/>
      <c r="I47" s="440"/>
      <c r="J47" s="440"/>
      <c r="K47" s="440"/>
      <c r="L47" s="440"/>
      <c r="M47" s="440"/>
      <c r="N47" s="440"/>
      <c r="O47" s="440"/>
      <c r="P47" s="440"/>
      <c r="Q47" s="440"/>
      <c r="R47" s="440"/>
      <c r="S47" s="440"/>
      <c r="T47" s="440"/>
      <c r="U47" s="440"/>
      <c r="V47" s="440"/>
      <c r="W47" s="440"/>
      <c r="X47" s="440"/>
      <c r="Y47" s="440"/>
      <c r="Z47" s="440"/>
      <c r="AA47" s="440"/>
      <c r="AB47" s="440"/>
      <c r="AC47" s="440"/>
      <c r="AD47" s="440"/>
      <c r="AE47" s="440"/>
      <c r="AF47" s="440"/>
      <c r="AG47" s="440"/>
      <c r="AH47" s="440"/>
      <c r="AI47" s="440"/>
      <c r="AJ47" s="440"/>
      <c r="AK47" s="440"/>
      <c r="AL47" s="440"/>
      <c r="AM47" s="440"/>
      <c r="AN47" s="440"/>
      <c r="AO47" s="440"/>
      <c r="AP47" s="440"/>
      <c r="AQ47" s="440"/>
      <c r="AR47" s="440"/>
    </row>
    <row r="48" spans="1:44" ht="15" x14ac:dyDescent="0.25">
      <c r="A48" s="2" t="s">
        <v>271</v>
      </c>
      <c r="B48" s="380"/>
      <c r="C48" s="181"/>
      <c r="D48" s="440"/>
      <c r="E48" s="417"/>
      <c r="F48" s="417"/>
      <c r="G48" s="417"/>
      <c r="H48" s="417"/>
      <c r="I48" s="417"/>
      <c r="J48" s="417"/>
      <c r="K48" s="417"/>
      <c r="L48" s="417"/>
      <c r="M48" s="417"/>
      <c r="N48" s="417"/>
      <c r="O48" s="417"/>
      <c r="P48" s="417"/>
      <c r="Q48" s="417"/>
      <c r="R48" s="417"/>
      <c r="S48" s="417"/>
      <c r="T48" s="417"/>
      <c r="U48" s="417"/>
      <c r="V48" s="417"/>
      <c r="W48" s="417"/>
      <c r="X48" s="417"/>
      <c r="Y48" s="417"/>
      <c r="Z48" s="417"/>
      <c r="AA48" s="417"/>
      <c r="AB48" s="417"/>
      <c r="AC48" s="417"/>
      <c r="AD48" s="417"/>
      <c r="AE48" s="417"/>
      <c r="AF48" s="417"/>
      <c r="AG48" s="417"/>
      <c r="AH48" s="417"/>
      <c r="AI48" s="417"/>
      <c r="AJ48" s="417"/>
      <c r="AK48" s="417"/>
      <c r="AL48" s="417"/>
      <c r="AM48" s="417"/>
      <c r="AN48" s="417"/>
      <c r="AO48" s="417"/>
      <c r="AP48" s="417"/>
      <c r="AQ48" s="417"/>
      <c r="AR48" s="417"/>
    </row>
    <row r="49" spans="1:44" ht="15" x14ac:dyDescent="0.25">
      <c r="A49" s="2"/>
      <c r="B49" s="380" t="s">
        <v>193</v>
      </c>
      <c r="C49" s="11" t="s">
        <v>54</v>
      </c>
      <c r="D49" s="380">
        <f>Inputs!E146</f>
        <v>2023</v>
      </c>
      <c r="E49" s="417"/>
      <c r="F49" s="417"/>
      <c r="G49" s="417"/>
      <c r="H49" s="417"/>
      <c r="I49" s="417"/>
      <c r="J49" s="417"/>
      <c r="K49" s="417"/>
      <c r="L49" s="417"/>
      <c r="M49" s="417"/>
      <c r="N49" s="417"/>
      <c r="O49" s="417"/>
      <c r="P49" s="417"/>
      <c r="Q49" s="417"/>
      <c r="R49" s="417"/>
      <c r="S49" s="417"/>
      <c r="T49" s="417"/>
      <c r="U49" s="417"/>
      <c r="V49" s="417"/>
      <c r="W49" s="417"/>
      <c r="X49" s="417"/>
      <c r="Y49" s="417"/>
      <c r="Z49" s="417"/>
      <c r="AA49" s="417"/>
      <c r="AB49" s="417"/>
      <c r="AC49" s="417"/>
      <c r="AD49" s="417"/>
      <c r="AE49" s="417"/>
      <c r="AF49" s="417"/>
      <c r="AG49" s="417"/>
      <c r="AH49" s="417"/>
      <c r="AI49" s="417"/>
      <c r="AJ49" s="417"/>
      <c r="AK49" s="417"/>
      <c r="AL49" s="417"/>
      <c r="AM49" s="417"/>
      <c r="AN49" s="417"/>
      <c r="AO49" s="417"/>
      <c r="AP49" s="417"/>
      <c r="AQ49" s="417"/>
      <c r="AR49" s="417"/>
    </row>
    <row r="50" spans="1:44" ht="15" x14ac:dyDescent="0.25">
      <c r="A50" s="2"/>
      <c r="B50" s="380" t="s">
        <v>195</v>
      </c>
      <c r="C50" s="181" t="s">
        <v>196</v>
      </c>
      <c r="D50" s="428">
        <f>Inputs!E147</f>
        <v>68.5</v>
      </c>
      <c r="E50" s="417"/>
      <c r="F50" s="417"/>
      <c r="G50" s="417"/>
      <c r="H50" s="417"/>
      <c r="I50" s="417"/>
      <c r="J50" s="417"/>
      <c r="K50" s="417"/>
      <c r="L50" s="417"/>
      <c r="M50" s="417"/>
      <c r="N50" s="417"/>
      <c r="O50" s="417"/>
      <c r="P50" s="417"/>
      <c r="Q50" s="417"/>
      <c r="R50" s="417"/>
      <c r="S50" s="417"/>
      <c r="T50" s="417"/>
      <c r="U50" s="417"/>
      <c r="V50" s="417"/>
      <c r="W50" s="417"/>
      <c r="X50" s="417"/>
      <c r="Y50" s="417"/>
      <c r="Z50" s="417"/>
      <c r="AA50" s="417"/>
      <c r="AB50" s="417"/>
      <c r="AC50" s="417"/>
      <c r="AD50" s="417"/>
      <c r="AE50" s="417"/>
      <c r="AF50" s="417"/>
      <c r="AG50" s="417"/>
      <c r="AH50" s="417"/>
      <c r="AI50" s="417"/>
      <c r="AJ50" s="417"/>
      <c r="AK50" s="417"/>
      <c r="AL50" s="417"/>
      <c r="AM50" s="417"/>
      <c r="AN50" s="417"/>
      <c r="AO50" s="417"/>
      <c r="AP50" s="417"/>
      <c r="AQ50" s="417"/>
      <c r="AR50" s="417"/>
    </row>
    <row r="51" spans="1:44" ht="15" x14ac:dyDescent="0.25">
      <c r="A51" s="2"/>
      <c r="B51" s="380" t="s">
        <v>272</v>
      </c>
      <c r="C51" s="181" t="s">
        <v>196</v>
      </c>
      <c r="D51" s="440">
        <f>D50</f>
        <v>68.5</v>
      </c>
      <c r="E51" s="417"/>
      <c r="F51" s="417">
        <f t="shared" ref="F51:AR51" si="20">IF(F7=$D$49,$D$51,0)</f>
        <v>0</v>
      </c>
      <c r="G51" s="417">
        <f t="shared" si="20"/>
        <v>0</v>
      </c>
      <c r="H51" s="417">
        <f t="shared" si="20"/>
        <v>0</v>
      </c>
      <c r="I51" s="417">
        <f t="shared" si="20"/>
        <v>0</v>
      </c>
      <c r="J51" s="417">
        <f t="shared" si="20"/>
        <v>0</v>
      </c>
      <c r="K51" s="417">
        <f t="shared" si="20"/>
        <v>68.5</v>
      </c>
      <c r="L51" s="417">
        <f t="shared" si="20"/>
        <v>0</v>
      </c>
      <c r="M51" s="417">
        <f t="shared" si="20"/>
        <v>0</v>
      </c>
      <c r="N51" s="417">
        <f t="shared" si="20"/>
        <v>0</v>
      </c>
      <c r="O51" s="417">
        <f t="shared" si="20"/>
        <v>0</v>
      </c>
      <c r="P51" s="417">
        <f t="shared" si="20"/>
        <v>0</v>
      </c>
      <c r="Q51" s="417">
        <f t="shared" si="20"/>
        <v>0</v>
      </c>
      <c r="R51" s="417">
        <f t="shared" si="20"/>
        <v>0</v>
      </c>
      <c r="S51" s="417">
        <f t="shared" si="20"/>
        <v>0</v>
      </c>
      <c r="T51" s="417">
        <f t="shared" si="20"/>
        <v>0</v>
      </c>
      <c r="U51" s="417">
        <f t="shared" si="20"/>
        <v>0</v>
      </c>
      <c r="V51" s="417">
        <f t="shared" si="20"/>
        <v>0</v>
      </c>
      <c r="W51" s="417">
        <f t="shared" si="20"/>
        <v>0</v>
      </c>
      <c r="X51" s="417">
        <f t="shared" si="20"/>
        <v>0</v>
      </c>
      <c r="Y51" s="417">
        <f t="shared" si="20"/>
        <v>0</v>
      </c>
      <c r="Z51" s="417">
        <f t="shared" si="20"/>
        <v>0</v>
      </c>
      <c r="AA51" s="417">
        <f t="shared" si="20"/>
        <v>0</v>
      </c>
      <c r="AB51" s="417">
        <f t="shared" si="20"/>
        <v>0</v>
      </c>
      <c r="AC51" s="417">
        <f t="shared" si="20"/>
        <v>0</v>
      </c>
      <c r="AD51" s="417">
        <f t="shared" si="20"/>
        <v>0</v>
      </c>
      <c r="AE51" s="417">
        <f t="shared" si="20"/>
        <v>0</v>
      </c>
      <c r="AF51" s="417">
        <f t="shared" si="20"/>
        <v>0</v>
      </c>
      <c r="AG51" s="417">
        <f t="shared" si="20"/>
        <v>0</v>
      </c>
      <c r="AH51" s="417">
        <f t="shared" si="20"/>
        <v>0</v>
      </c>
      <c r="AI51" s="417">
        <f t="shared" si="20"/>
        <v>0</v>
      </c>
      <c r="AJ51" s="417">
        <f t="shared" si="20"/>
        <v>0</v>
      </c>
      <c r="AK51" s="417">
        <f t="shared" si="20"/>
        <v>0</v>
      </c>
      <c r="AL51" s="417">
        <f t="shared" si="20"/>
        <v>0</v>
      </c>
      <c r="AM51" s="417">
        <f t="shared" si="20"/>
        <v>0</v>
      </c>
      <c r="AN51" s="417">
        <f t="shared" si="20"/>
        <v>0</v>
      </c>
      <c r="AO51" s="417">
        <f t="shared" si="20"/>
        <v>0</v>
      </c>
      <c r="AP51" s="417">
        <f t="shared" si="20"/>
        <v>0</v>
      </c>
      <c r="AQ51" s="417">
        <f t="shared" si="20"/>
        <v>0</v>
      </c>
      <c r="AR51" s="417">
        <f t="shared" si="20"/>
        <v>0</v>
      </c>
    </row>
    <row r="52" spans="1:44" ht="15" x14ac:dyDescent="0.25">
      <c r="A52" s="2"/>
      <c r="B52" s="380" t="s">
        <v>273</v>
      </c>
      <c r="C52" s="11" t="s">
        <v>76</v>
      </c>
      <c r="D52" s="453">
        <f>Inputs!$E$148</f>
        <v>5.3992539027215708E-3</v>
      </c>
      <c r="E52" s="417"/>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c r="AN52" s="417"/>
      <c r="AO52" s="417"/>
      <c r="AP52" s="417"/>
      <c r="AQ52" s="417"/>
      <c r="AR52" s="417"/>
    </row>
    <row r="53" spans="1:44" ht="15" x14ac:dyDescent="0.25">
      <c r="A53" s="2"/>
      <c r="B53" s="380" t="s">
        <v>274</v>
      </c>
      <c r="C53" s="11" t="s">
        <v>54</v>
      </c>
      <c r="D53" s="380">
        <f>F7</f>
        <v>2018</v>
      </c>
      <c r="E53" s="380"/>
      <c r="F53" s="417">
        <f t="shared" ref="F53:AR53" si="21">IF(F7=$D$53,$D$54,0)</f>
        <v>66.680335831680836</v>
      </c>
      <c r="G53" s="417">
        <f t="shared" si="21"/>
        <v>0</v>
      </c>
      <c r="H53" s="417">
        <f t="shared" si="21"/>
        <v>0</v>
      </c>
      <c r="I53" s="417">
        <f t="shared" si="21"/>
        <v>0</v>
      </c>
      <c r="J53" s="417">
        <f t="shared" si="21"/>
        <v>0</v>
      </c>
      <c r="K53" s="417">
        <f t="shared" si="21"/>
        <v>0</v>
      </c>
      <c r="L53" s="417">
        <f t="shared" si="21"/>
        <v>0</v>
      </c>
      <c r="M53" s="417">
        <f t="shared" si="21"/>
        <v>0</v>
      </c>
      <c r="N53" s="417">
        <f t="shared" si="21"/>
        <v>0</v>
      </c>
      <c r="O53" s="417">
        <f t="shared" si="21"/>
        <v>0</v>
      </c>
      <c r="P53" s="417">
        <f t="shared" si="21"/>
        <v>0</v>
      </c>
      <c r="Q53" s="417">
        <f t="shared" si="21"/>
        <v>0</v>
      </c>
      <c r="R53" s="417">
        <f t="shared" si="21"/>
        <v>0</v>
      </c>
      <c r="S53" s="417">
        <f t="shared" si="21"/>
        <v>0</v>
      </c>
      <c r="T53" s="417">
        <f t="shared" si="21"/>
        <v>0</v>
      </c>
      <c r="U53" s="417">
        <f t="shared" si="21"/>
        <v>0</v>
      </c>
      <c r="V53" s="417">
        <f t="shared" si="21"/>
        <v>0</v>
      </c>
      <c r="W53" s="417">
        <f t="shared" si="21"/>
        <v>0</v>
      </c>
      <c r="X53" s="417">
        <f t="shared" si="21"/>
        <v>0</v>
      </c>
      <c r="Y53" s="417">
        <f t="shared" si="21"/>
        <v>0</v>
      </c>
      <c r="Z53" s="417">
        <f t="shared" si="21"/>
        <v>0</v>
      </c>
      <c r="AA53" s="417">
        <f t="shared" si="21"/>
        <v>0</v>
      </c>
      <c r="AB53" s="417">
        <f t="shared" si="21"/>
        <v>0</v>
      </c>
      <c r="AC53" s="417">
        <f t="shared" si="21"/>
        <v>0</v>
      </c>
      <c r="AD53" s="417">
        <f t="shared" si="21"/>
        <v>0</v>
      </c>
      <c r="AE53" s="417">
        <f t="shared" si="21"/>
        <v>0</v>
      </c>
      <c r="AF53" s="417">
        <f t="shared" si="21"/>
        <v>0</v>
      </c>
      <c r="AG53" s="417">
        <f t="shared" si="21"/>
        <v>0</v>
      </c>
      <c r="AH53" s="417">
        <f t="shared" si="21"/>
        <v>0</v>
      </c>
      <c r="AI53" s="417">
        <f t="shared" si="21"/>
        <v>0</v>
      </c>
      <c r="AJ53" s="417">
        <f t="shared" si="21"/>
        <v>0</v>
      </c>
      <c r="AK53" s="417">
        <f t="shared" si="21"/>
        <v>0</v>
      </c>
      <c r="AL53" s="417">
        <f t="shared" si="21"/>
        <v>0</v>
      </c>
      <c r="AM53" s="417">
        <f t="shared" si="21"/>
        <v>0</v>
      </c>
      <c r="AN53" s="417">
        <f t="shared" si="21"/>
        <v>0</v>
      </c>
      <c r="AO53" s="417">
        <f t="shared" si="21"/>
        <v>0</v>
      </c>
      <c r="AP53" s="417">
        <f t="shared" si="21"/>
        <v>0</v>
      </c>
      <c r="AQ53" s="417">
        <f t="shared" si="21"/>
        <v>0</v>
      </c>
      <c r="AR53" s="417">
        <f t="shared" si="21"/>
        <v>0</v>
      </c>
    </row>
    <row r="54" spans="1:44" ht="15" x14ac:dyDescent="0.25">
      <c r="A54" s="2"/>
      <c r="B54" s="380" t="s">
        <v>275</v>
      </c>
      <c r="C54" s="181" t="s">
        <v>196</v>
      </c>
      <c r="D54" s="440">
        <f>D51*1/(1+D52)^(D49-D53)</f>
        <v>66.680335831680836</v>
      </c>
      <c r="E54" s="380"/>
      <c r="F54" s="440">
        <f>E54*(1+$D$52)+F53</f>
        <v>66.680335831680836</v>
      </c>
      <c r="G54" s="440">
        <f>F54*(1+$D$52)+G53</f>
        <v>67.040359895154836</v>
      </c>
      <c r="H54" s="440">
        <f t="shared" ref="H54:AR54" si="22">G54*(1+$D$52)+H53</f>
        <v>67.402327819958614</v>
      </c>
      <c r="I54" s="440">
        <f t="shared" si="22"/>
        <v>67.766250101493057</v>
      </c>
      <c r="J54" s="440">
        <f t="shared" si="22"/>
        <v>68.132137291826353</v>
      </c>
      <c r="K54" s="440">
        <f t="shared" si="22"/>
        <v>68.500000000000014</v>
      </c>
      <c r="L54" s="440">
        <f t="shared" si="22"/>
        <v>68.869848892336449</v>
      </c>
      <c r="M54" s="440">
        <f t="shared" si="22"/>
        <v>69.241694692748254</v>
      </c>
      <c r="N54" s="440">
        <f t="shared" si="22"/>
        <v>69.615548183049142</v>
      </c>
      <c r="O54" s="440">
        <f t="shared" si="22"/>
        <v>69.991420203266586</v>
      </c>
      <c r="P54" s="440">
        <f t="shared" si="22"/>
        <v>70.369321651956099</v>
      </c>
      <c r="Q54" s="440">
        <f t="shared" si="22"/>
        <v>70.749263486517293</v>
      </c>
      <c r="R54" s="440">
        <f t="shared" si="22"/>
        <v>71.131256723511555</v>
      </c>
      <c r="S54" s="440">
        <f t="shared" si="22"/>
        <v>71.515312438981468</v>
      </c>
      <c r="T54" s="440">
        <f t="shared" si="22"/>
        <v>71.901441768772003</v>
      </c>
      <c r="U54" s="440">
        <f t="shared" si="22"/>
        <v>72.289655908853362</v>
      </c>
      <c r="V54" s="440">
        <f t="shared" si="22"/>
        <v>72.679966115645641</v>
      </c>
      <c r="W54" s="440">
        <f t="shared" si="22"/>
        <v>73.072383706345221</v>
      </c>
      <c r="X54" s="440">
        <f t="shared" si="22"/>
        <v>73.466920059252885</v>
      </c>
      <c r="Y54" s="440">
        <f t="shared" si="22"/>
        <v>73.863586614103752</v>
      </c>
      <c r="Z54" s="440">
        <f t="shared" si="22"/>
        <v>74.262394872398971</v>
      </c>
      <c r="AA54" s="440">
        <f t="shared" si="22"/>
        <v>74.663356397739236</v>
      </c>
      <c r="AB54" s="440">
        <f t="shared" si="22"/>
        <v>75.066482816160033</v>
      </c>
      <c r="AC54" s="440">
        <f t="shared" si="22"/>
        <v>75.471785816468767</v>
      </c>
      <c r="AD54" s="440">
        <f t="shared" si="22"/>
        <v>75.879277150583704</v>
      </c>
      <c r="AE54" s="440">
        <f t="shared" si="22"/>
        <v>76.288968633874688</v>
      </c>
      <c r="AF54" s="440">
        <f t="shared" si="22"/>
        <v>76.700872145505741</v>
      </c>
      <c r="AG54" s="440">
        <f t="shared" si="22"/>
        <v>77.114999628779515</v>
      </c>
      <c r="AH54" s="440">
        <f t="shared" si="22"/>
        <v>77.531363091483584</v>
      </c>
      <c r="AI54" s="440">
        <f t="shared" si="22"/>
        <v>77.949974606238612</v>
      </c>
      <c r="AJ54" s="440">
        <f t="shared" si="22"/>
        <v>78.370846310848407</v>
      </c>
      <c r="AK54" s="440">
        <f t="shared" si="22"/>
        <v>78.793990408651851</v>
      </c>
      <c r="AL54" s="440">
        <f t="shared" si="22"/>
        <v>79.219419168876783</v>
      </c>
      <c r="AM54" s="440">
        <f t="shared" si="22"/>
        <v>79.647144926995679</v>
      </c>
      <c r="AN54" s="440">
        <f t="shared" si="22"/>
        <v>80.077180085083398</v>
      </c>
      <c r="AO54" s="440">
        <f t="shared" si="22"/>
        <v>80.50953711217673</v>
      </c>
      <c r="AP54" s="440">
        <f t="shared" si="22"/>
        <v>80.944228544635962</v>
      </c>
      <c r="AQ54" s="440">
        <f t="shared" si="22"/>
        <v>81.381266986508379</v>
      </c>
      <c r="AR54" s="440">
        <f t="shared" si="22"/>
        <v>81.820665109893724</v>
      </c>
    </row>
    <row r="55" spans="1:44" ht="15" x14ac:dyDescent="0.25">
      <c r="A55" s="2"/>
      <c r="B55" s="380"/>
      <c r="C55" s="11"/>
      <c r="D55" s="453"/>
      <c r="E55" s="380"/>
      <c r="F55" s="417"/>
      <c r="G55" s="417"/>
      <c r="H55" s="417"/>
      <c r="I55" s="417"/>
      <c r="J55" s="417"/>
      <c r="K55" s="417"/>
      <c r="L55" s="417"/>
      <c r="M55" s="417"/>
      <c r="N55" s="417"/>
      <c r="O55" s="417"/>
      <c r="P55" s="417"/>
      <c r="Q55" s="417"/>
      <c r="R55" s="417"/>
      <c r="S55" s="417"/>
      <c r="T55" s="417"/>
      <c r="U55" s="417"/>
      <c r="V55" s="417"/>
      <c r="W55" s="417"/>
      <c r="X55" s="417"/>
      <c r="Y55" s="417"/>
      <c r="Z55" s="417"/>
      <c r="AA55" s="417"/>
      <c r="AB55" s="417"/>
      <c r="AC55" s="417"/>
      <c r="AD55" s="417"/>
      <c r="AE55" s="417"/>
      <c r="AF55" s="417"/>
      <c r="AG55" s="417"/>
      <c r="AH55" s="417"/>
      <c r="AI55" s="417"/>
      <c r="AJ55" s="417"/>
      <c r="AK55" s="417"/>
      <c r="AL55" s="417"/>
      <c r="AM55" s="417"/>
      <c r="AN55" s="417"/>
      <c r="AO55" s="417"/>
      <c r="AP55" s="417"/>
      <c r="AQ55" s="417"/>
      <c r="AR55" s="417"/>
    </row>
    <row r="56" spans="1:44" s="4" customFormat="1" x14ac:dyDescent="0.2">
      <c r="A56" s="449" t="s">
        <v>276</v>
      </c>
      <c r="B56" s="8"/>
      <c r="C56" s="182"/>
      <c r="D56" s="450"/>
      <c r="E56" s="450"/>
      <c r="F56" s="450"/>
      <c r="G56" s="450"/>
      <c r="H56" s="450"/>
      <c r="I56" s="450"/>
      <c r="J56" s="450"/>
      <c r="K56" s="450"/>
      <c r="L56" s="450"/>
      <c r="M56" s="450"/>
      <c r="N56" s="450"/>
      <c r="O56" s="450"/>
      <c r="P56" s="450"/>
      <c r="Q56" s="450"/>
      <c r="R56" s="450"/>
      <c r="S56" s="450"/>
      <c r="T56" s="450"/>
      <c r="U56" s="450"/>
      <c r="V56" s="450"/>
      <c r="W56" s="450"/>
      <c r="X56" s="450"/>
      <c r="Y56" s="450"/>
      <c r="Z56" s="450"/>
      <c r="AA56" s="450"/>
      <c r="AB56" s="450"/>
      <c r="AC56" s="450"/>
      <c r="AD56" s="450"/>
      <c r="AE56" s="450"/>
      <c r="AF56" s="450"/>
      <c r="AG56" s="450"/>
      <c r="AH56" s="450"/>
      <c r="AI56" s="450"/>
      <c r="AJ56" s="450"/>
      <c r="AK56" s="450"/>
      <c r="AL56" s="450"/>
      <c r="AM56" s="450"/>
      <c r="AN56" s="450"/>
      <c r="AO56" s="450"/>
      <c r="AP56" s="450"/>
      <c r="AQ56" s="450"/>
      <c r="AR56" s="450"/>
    </row>
    <row r="57" spans="1:44" ht="15" x14ac:dyDescent="0.25">
      <c r="A57" s="2" t="s">
        <v>261</v>
      </c>
      <c r="B57" s="380"/>
      <c r="C57" s="10"/>
      <c r="D57" s="380"/>
      <c r="E57" s="380"/>
      <c r="F57" s="380"/>
      <c r="G57" s="380"/>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380"/>
      <c r="AM57" s="380"/>
      <c r="AN57" s="380"/>
      <c r="AO57" s="380"/>
      <c r="AP57" s="380"/>
      <c r="AQ57" s="380"/>
      <c r="AR57" s="380"/>
    </row>
    <row r="58" spans="1:44" x14ac:dyDescent="0.2">
      <c r="A58" s="380"/>
      <c r="B58" s="380" t="s">
        <v>267</v>
      </c>
      <c r="C58" s="181" t="s">
        <v>112</v>
      </c>
      <c r="D58" s="440">
        <f>SUM(F58:AR58)</f>
        <v>876751.20000000054</v>
      </c>
      <c r="E58" s="380"/>
      <c r="F58" s="440">
        <f t="shared" ref="F58:AR58" si="23">F29</f>
        <v>18734</v>
      </c>
      <c r="G58" s="440">
        <f t="shared" si="23"/>
        <v>18931.2</v>
      </c>
      <c r="H58" s="440">
        <f t="shared" si="23"/>
        <v>19128.400000000001</v>
      </c>
      <c r="I58" s="440">
        <f t="shared" si="23"/>
        <v>19325.600000000002</v>
      </c>
      <c r="J58" s="440">
        <f t="shared" si="23"/>
        <v>19522.800000000003</v>
      </c>
      <c r="K58" s="440">
        <f t="shared" si="23"/>
        <v>19720.000000000004</v>
      </c>
      <c r="L58" s="440">
        <f t="shared" si="23"/>
        <v>19917.200000000004</v>
      </c>
      <c r="M58" s="440">
        <f t="shared" si="23"/>
        <v>20114.400000000005</v>
      </c>
      <c r="N58" s="440">
        <f t="shared" si="23"/>
        <v>20311.600000000006</v>
      </c>
      <c r="O58" s="440">
        <f t="shared" si="23"/>
        <v>20508.800000000007</v>
      </c>
      <c r="P58" s="440">
        <f t="shared" si="23"/>
        <v>20706.000000000007</v>
      </c>
      <c r="Q58" s="440">
        <f t="shared" si="23"/>
        <v>20903.200000000008</v>
      </c>
      <c r="R58" s="440">
        <f t="shared" si="23"/>
        <v>21100.400000000009</v>
      </c>
      <c r="S58" s="440">
        <f t="shared" si="23"/>
        <v>21297.600000000009</v>
      </c>
      <c r="T58" s="440">
        <f t="shared" si="23"/>
        <v>21494.80000000001</v>
      </c>
      <c r="U58" s="440">
        <f t="shared" si="23"/>
        <v>21692.000000000011</v>
      </c>
      <c r="V58" s="440">
        <f t="shared" si="23"/>
        <v>21889.200000000012</v>
      </c>
      <c r="W58" s="440">
        <f t="shared" si="23"/>
        <v>22086.400000000012</v>
      </c>
      <c r="X58" s="440">
        <f t="shared" si="23"/>
        <v>22283.600000000013</v>
      </c>
      <c r="Y58" s="440">
        <f t="shared" si="23"/>
        <v>22480.800000000014</v>
      </c>
      <c r="Z58" s="440">
        <f t="shared" si="23"/>
        <v>22678.000000000015</v>
      </c>
      <c r="AA58" s="440">
        <f t="shared" si="23"/>
        <v>22875.200000000015</v>
      </c>
      <c r="AB58" s="440">
        <f t="shared" si="23"/>
        <v>23072.400000000016</v>
      </c>
      <c r="AC58" s="440">
        <f t="shared" si="23"/>
        <v>23269.600000000017</v>
      </c>
      <c r="AD58" s="440">
        <f t="shared" si="23"/>
        <v>23466.800000000017</v>
      </c>
      <c r="AE58" s="440">
        <f t="shared" si="23"/>
        <v>23664.000000000018</v>
      </c>
      <c r="AF58" s="440">
        <f t="shared" si="23"/>
        <v>23861.200000000019</v>
      </c>
      <c r="AG58" s="440">
        <f t="shared" si="23"/>
        <v>24058.40000000002</v>
      </c>
      <c r="AH58" s="440">
        <f t="shared" si="23"/>
        <v>24255.60000000002</v>
      </c>
      <c r="AI58" s="440">
        <f t="shared" si="23"/>
        <v>24452.800000000021</v>
      </c>
      <c r="AJ58" s="440">
        <f t="shared" si="23"/>
        <v>24650.000000000022</v>
      </c>
      <c r="AK58" s="440">
        <f t="shared" si="23"/>
        <v>24847.200000000023</v>
      </c>
      <c r="AL58" s="440">
        <f t="shared" si="23"/>
        <v>25044.400000000023</v>
      </c>
      <c r="AM58" s="440">
        <f t="shared" si="23"/>
        <v>25241.600000000024</v>
      </c>
      <c r="AN58" s="440">
        <f t="shared" si="23"/>
        <v>25438.800000000025</v>
      </c>
      <c r="AO58" s="440">
        <f t="shared" si="23"/>
        <v>25636.000000000025</v>
      </c>
      <c r="AP58" s="440">
        <f t="shared" si="23"/>
        <v>25833.200000000026</v>
      </c>
      <c r="AQ58" s="440">
        <f t="shared" si="23"/>
        <v>26030.400000000027</v>
      </c>
      <c r="AR58" s="440">
        <f t="shared" si="23"/>
        <v>26227.600000000028</v>
      </c>
    </row>
    <row r="59" spans="1:44" x14ac:dyDescent="0.2">
      <c r="A59" s="380"/>
      <c r="B59" s="380" t="s">
        <v>268</v>
      </c>
      <c r="C59" s="181" t="s">
        <v>112</v>
      </c>
      <c r="D59" s="440">
        <f>SUM(F59:AR59)</f>
        <v>850448.66400000046</v>
      </c>
      <c r="E59" s="380"/>
      <c r="F59" s="440">
        <f t="shared" ref="F59:AR59" si="24">F30</f>
        <v>18171.98</v>
      </c>
      <c r="G59" s="440">
        <f t="shared" si="24"/>
        <v>18363.263999999999</v>
      </c>
      <c r="H59" s="440">
        <f t="shared" si="24"/>
        <v>18554.548000000003</v>
      </c>
      <c r="I59" s="440">
        <f t="shared" si="24"/>
        <v>18745.832000000002</v>
      </c>
      <c r="J59" s="440">
        <f t="shared" si="24"/>
        <v>18937.116000000002</v>
      </c>
      <c r="K59" s="440">
        <f t="shared" si="24"/>
        <v>19128.400000000001</v>
      </c>
      <c r="L59" s="440">
        <f t="shared" si="24"/>
        <v>19319.684000000005</v>
      </c>
      <c r="M59" s="440">
        <f t="shared" si="24"/>
        <v>19510.968000000004</v>
      </c>
      <c r="N59" s="440">
        <f t="shared" si="24"/>
        <v>19702.252000000004</v>
      </c>
      <c r="O59" s="440">
        <f t="shared" si="24"/>
        <v>19893.536000000007</v>
      </c>
      <c r="P59" s="440">
        <f t="shared" si="24"/>
        <v>20084.820000000007</v>
      </c>
      <c r="Q59" s="440">
        <f t="shared" si="24"/>
        <v>20276.104000000007</v>
      </c>
      <c r="R59" s="440">
        <f t="shared" si="24"/>
        <v>20467.388000000006</v>
      </c>
      <c r="S59" s="440">
        <f t="shared" si="24"/>
        <v>20658.67200000001</v>
      </c>
      <c r="T59" s="440">
        <f t="shared" si="24"/>
        <v>20849.956000000009</v>
      </c>
      <c r="U59" s="440">
        <f t="shared" si="24"/>
        <v>21041.240000000009</v>
      </c>
      <c r="V59" s="440">
        <f t="shared" si="24"/>
        <v>21232.524000000012</v>
      </c>
      <c r="W59" s="440">
        <f t="shared" si="24"/>
        <v>21423.808000000012</v>
      </c>
      <c r="X59" s="440">
        <f t="shared" si="24"/>
        <v>21615.092000000011</v>
      </c>
      <c r="Y59" s="440">
        <f t="shared" si="24"/>
        <v>21806.376000000011</v>
      </c>
      <c r="Z59" s="440">
        <f t="shared" si="24"/>
        <v>21997.660000000014</v>
      </c>
      <c r="AA59" s="440">
        <f t="shared" si="24"/>
        <v>22188.944000000014</v>
      </c>
      <c r="AB59" s="440">
        <f t="shared" si="24"/>
        <v>22380.228000000014</v>
      </c>
      <c r="AC59" s="440">
        <f t="shared" si="24"/>
        <v>22571.512000000017</v>
      </c>
      <c r="AD59" s="440">
        <f t="shared" si="24"/>
        <v>22762.796000000017</v>
      </c>
      <c r="AE59" s="440">
        <f t="shared" si="24"/>
        <v>22954.080000000016</v>
      </c>
      <c r="AF59" s="440">
        <f t="shared" si="24"/>
        <v>23145.364000000016</v>
      </c>
      <c r="AG59" s="440">
        <f t="shared" si="24"/>
        <v>23336.648000000019</v>
      </c>
      <c r="AH59" s="440">
        <f t="shared" si="24"/>
        <v>23527.932000000019</v>
      </c>
      <c r="AI59" s="440">
        <f t="shared" si="24"/>
        <v>23719.216000000019</v>
      </c>
      <c r="AJ59" s="440">
        <f t="shared" si="24"/>
        <v>23910.500000000022</v>
      </c>
      <c r="AK59" s="440">
        <f t="shared" si="24"/>
        <v>24101.784000000021</v>
      </c>
      <c r="AL59" s="440">
        <f t="shared" si="24"/>
        <v>24293.068000000021</v>
      </c>
      <c r="AM59" s="440">
        <f t="shared" si="24"/>
        <v>24484.352000000024</v>
      </c>
      <c r="AN59" s="440">
        <f t="shared" si="24"/>
        <v>24675.636000000024</v>
      </c>
      <c r="AO59" s="440">
        <f t="shared" si="24"/>
        <v>24866.920000000024</v>
      </c>
      <c r="AP59" s="440">
        <f t="shared" si="24"/>
        <v>25058.204000000023</v>
      </c>
      <c r="AQ59" s="440">
        <f t="shared" si="24"/>
        <v>25249.488000000027</v>
      </c>
      <c r="AR59" s="440">
        <f t="shared" si="24"/>
        <v>25440.772000000026</v>
      </c>
    </row>
    <row r="60" spans="1:44" x14ac:dyDescent="0.2">
      <c r="A60" s="380"/>
      <c r="B60" s="380" t="s">
        <v>269</v>
      </c>
      <c r="C60" s="181" t="s">
        <v>112</v>
      </c>
      <c r="D60" s="440">
        <f>SUM(F60:AR60)</f>
        <v>26302.536000000015</v>
      </c>
      <c r="E60" s="380"/>
      <c r="F60" s="440">
        <f t="shared" ref="F60:AR60" si="25">F31</f>
        <v>562.02</v>
      </c>
      <c r="G60" s="440">
        <f t="shared" si="25"/>
        <v>567.93600000000004</v>
      </c>
      <c r="H60" s="440">
        <f t="shared" si="25"/>
        <v>573.85199999999998</v>
      </c>
      <c r="I60" s="440">
        <f t="shared" si="25"/>
        <v>579.76800000000003</v>
      </c>
      <c r="J60" s="440">
        <f t="shared" si="25"/>
        <v>585.68400000000008</v>
      </c>
      <c r="K60" s="440">
        <f t="shared" si="25"/>
        <v>591.60000000000014</v>
      </c>
      <c r="L60" s="440">
        <f t="shared" si="25"/>
        <v>597.51600000000008</v>
      </c>
      <c r="M60" s="440">
        <f t="shared" si="25"/>
        <v>603.43200000000013</v>
      </c>
      <c r="N60" s="440">
        <f t="shared" si="25"/>
        <v>609.34800000000018</v>
      </c>
      <c r="O60" s="440">
        <f t="shared" si="25"/>
        <v>615.26400000000012</v>
      </c>
      <c r="P60" s="440">
        <f t="shared" si="25"/>
        <v>621.18000000000018</v>
      </c>
      <c r="Q60" s="440">
        <f t="shared" si="25"/>
        <v>627.09600000000023</v>
      </c>
      <c r="R60" s="440">
        <f t="shared" si="25"/>
        <v>633.01200000000028</v>
      </c>
      <c r="S60" s="440">
        <f t="shared" si="25"/>
        <v>638.92800000000022</v>
      </c>
      <c r="T60" s="440">
        <f t="shared" si="25"/>
        <v>644.84400000000028</v>
      </c>
      <c r="U60" s="440">
        <f t="shared" si="25"/>
        <v>650.76000000000033</v>
      </c>
      <c r="V60" s="440">
        <f t="shared" si="25"/>
        <v>656.67600000000027</v>
      </c>
      <c r="W60" s="440">
        <f t="shared" si="25"/>
        <v>662.59200000000033</v>
      </c>
      <c r="X60" s="440">
        <f t="shared" si="25"/>
        <v>668.50800000000038</v>
      </c>
      <c r="Y60" s="440">
        <f t="shared" si="25"/>
        <v>674.42400000000043</v>
      </c>
      <c r="Z60" s="440">
        <f t="shared" si="25"/>
        <v>680.34000000000037</v>
      </c>
      <c r="AA60" s="440">
        <f t="shared" si="25"/>
        <v>686.25600000000043</v>
      </c>
      <c r="AB60" s="440">
        <f t="shared" si="25"/>
        <v>692.17200000000048</v>
      </c>
      <c r="AC60" s="440">
        <f t="shared" si="25"/>
        <v>698.08800000000042</v>
      </c>
      <c r="AD60" s="440">
        <f t="shared" si="25"/>
        <v>704.00400000000047</v>
      </c>
      <c r="AE60" s="440">
        <f t="shared" si="25"/>
        <v>709.92000000000053</v>
      </c>
      <c r="AF60" s="440">
        <f t="shared" si="25"/>
        <v>715.83600000000058</v>
      </c>
      <c r="AG60" s="440">
        <f t="shared" si="25"/>
        <v>721.75200000000052</v>
      </c>
      <c r="AH60" s="440">
        <f t="shared" si="25"/>
        <v>727.66800000000057</v>
      </c>
      <c r="AI60" s="440">
        <f t="shared" si="25"/>
        <v>733.58400000000063</v>
      </c>
      <c r="AJ60" s="440">
        <f t="shared" si="25"/>
        <v>739.50000000000068</v>
      </c>
      <c r="AK60" s="440">
        <f t="shared" si="25"/>
        <v>745.41600000000062</v>
      </c>
      <c r="AL60" s="440">
        <f t="shared" si="25"/>
        <v>751.33200000000068</v>
      </c>
      <c r="AM60" s="440">
        <f t="shared" si="25"/>
        <v>757.24800000000073</v>
      </c>
      <c r="AN60" s="440">
        <f t="shared" si="25"/>
        <v>763.16400000000067</v>
      </c>
      <c r="AO60" s="440">
        <f t="shared" si="25"/>
        <v>769.08000000000072</v>
      </c>
      <c r="AP60" s="440">
        <f t="shared" si="25"/>
        <v>774.99600000000078</v>
      </c>
      <c r="AQ60" s="440">
        <f t="shared" si="25"/>
        <v>780.91200000000083</v>
      </c>
      <c r="AR60" s="440">
        <f t="shared" si="25"/>
        <v>786.82800000000077</v>
      </c>
    </row>
    <row r="61" spans="1:44" x14ac:dyDescent="0.2">
      <c r="A61" s="380"/>
      <c r="B61" s="380"/>
      <c r="C61" s="181"/>
      <c r="D61" s="440"/>
      <c r="E61" s="38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40"/>
      <c r="AO61" s="440"/>
      <c r="AP61" s="440"/>
      <c r="AQ61" s="440"/>
      <c r="AR61" s="440"/>
    </row>
    <row r="62" spans="1:44" ht="15" x14ac:dyDescent="0.25">
      <c r="A62" s="2" t="s">
        <v>270</v>
      </c>
      <c r="B62" s="380"/>
      <c r="C62" s="181"/>
      <c r="D62" s="440"/>
      <c r="E62" s="380"/>
      <c r="F62" s="440"/>
      <c r="G62" s="440"/>
      <c r="H62" s="440"/>
      <c r="I62" s="440"/>
      <c r="J62" s="440"/>
      <c r="K62" s="440"/>
      <c r="L62" s="440"/>
      <c r="M62" s="440"/>
      <c r="N62" s="440"/>
      <c r="O62" s="440"/>
      <c r="P62" s="440"/>
      <c r="Q62" s="440"/>
      <c r="R62" s="440"/>
      <c r="S62" s="440"/>
      <c r="T62" s="440"/>
      <c r="U62" s="440"/>
      <c r="V62" s="440"/>
      <c r="W62" s="440"/>
      <c r="X62" s="440"/>
      <c r="Y62" s="440"/>
      <c r="Z62" s="440"/>
      <c r="AA62" s="440"/>
      <c r="AB62" s="440"/>
      <c r="AC62" s="440"/>
      <c r="AD62" s="440"/>
      <c r="AE62" s="440"/>
      <c r="AF62" s="440"/>
      <c r="AG62" s="440"/>
      <c r="AH62" s="440"/>
      <c r="AI62" s="440"/>
      <c r="AJ62" s="440"/>
      <c r="AK62" s="440"/>
      <c r="AL62" s="440"/>
      <c r="AM62" s="440"/>
      <c r="AN62" s="440"/>
      <c r="AO62" s="440"/>
      <c r="AP62" s="440"/>
      <c r="AQ62" s="440"/>
      <c r="AR62" s="440"/>
    </row>
    <row r="63" spans="1:44" x14ac:dyDescent="0.2">
      <c r="A63" s="380"/>
      <c r="B63" s="380" t="s">
        <v>267</v>
      </c>
      <c r="C63" s="181" t="s">
        <v>112</v>
      </c>
      <c r="D63" s="440">
        <f>SUM(F63:AR63)</f>
        <v>342430.92000000004</v>
      </c>
      <c r="E63" s="380"/>
      <c r="F63" s="440">
        <f>F44</f>
        <v>7316.9000000000005</v>
      </c>
      <c r="G63" s="440">
        <f t="shared" ref="G63:AR63" si="26">G44</f>
        <v>7393.92</v>
      </c>
      <c r="H63" s="440">
        <f t="shared" si="26"/>
        <v>7470.94</v>
      </c>
      <c r="I63" s="440">
        <f t="shared" si="26"/>
        <v>7547.9599999999991</v>
      </c>
      <c r="J63" s="440">
        <f t="shared" si="26"/>
        <v>7624.9799999999987</v>
      </c>
      <c r="K63" s="440">
        <f t="shared" si="26"/>
        <v>7701.9999999999982</v>
      </c>
      <c r="L63" s="440">
        <f t="shared" si="26"/>
        <v>7779.0199999999977</v>
      </c>
      <c r="M63" s="440">
        <f t="shared" si="26"/>
        <v>7856.0399999999972</v>
      </c>
      <c r="N63" s="440">
        <f t="shared" si="26"/>
        <v>7933.0599999999968</v>
      </c>
      <c r="O63" s="440">
        <f t="shared" si="26"/>
        <v>8010.0799999999963</v>
      </c>
      <c r="P63" s="440">
        <f t="shared" si="26"/>
        <v>8087.0999999999958</v>
      </c>
      <c r="Q63" s="440">
        <f t="shared" si="26"/>
        <v>8164.1199999999953</v>
      </c>
      <c r="R63" s="440">
        <f t="shared" si="26"/>
        <v>8241.1399999999958</v>
      </c>
      <c r="S63" s="440">
        <f t="shared" si="26"/>
        <v>8318.1599999999962</v>
      </c>
      <c r="T63" s="440">
        <f t="shared" si="26"/>
        <v>8395.1799999999967</v>
      </c>
      <c r="U63" s="440">
        <f t="shared" si="26"/>
        <v>8472.1999999999971</v>
      </c>
      <c r="V63" s="440">
        <f t="shared" si="26"/>
        <v>8549.2199999999975</v>
      </c>
      <c r="W63" s="440">
        <f t="shared" si="26"/>
        <v>8626.239999999998</v>
      </c>
      <c r="X63" s="440">
        <f t="shared" si="26"/>
        <v>8703.2599999999984</v>
      </c>
      <c r="Y63" s="440">
        <f t="shared" si="26"/>
        <v>8780.2799999999988</v>
      </c>
      <c r="Z63" s="440">
        <f t="shared" si="26"/>
        <v>8857.2999999999993</v>
      </c>
      <c r="AA63" s="440">
        <f t="shared" si="26"/>
        <v>8934.32</v>
      </c>
      <c r="AB63" s="440">
        <f t="shared" si="26"/>
        <v>9011.34</v>
      </c>
      <c r="AC63" s="440">
        <f t="shared" si="26"/>
        <v>9088.36</v>
      </c>
      <c r="AD63" s="440">
        <f t="shared" si="26"/>
        <v>9165.380000000001</v>
      </c>
      <c r="AE63" s="440">
        <f t="shared" si="26"/>
        <v>9242.4000000000015</v>
      </c>
      <c r="AF63" s="440">
        <f t="shared" si="26"/>
        <v>9319.4200000000019</v>
      </c>
      <c r="AG63" s="440">
        <f t="shared" si="26"/>
        <v>9396.4400000000023</v>
      </c>
      <c r="AH63" s="440">
        <f t="shared" si="26"/>
        <v>9473.4600000000028</v>
      </c>
      <c r="AI63" s="440">
        <f t="shared" si="26"/>
        <v>9550.4800000000032</v>
      </c>
      <c r="AJ63" s="440">
        <f t="shared" si="26"/>
        <v>9627.5000000000036</v>
      </c>
      <c r="AK63" s="440">
        <f t="shared" si="26"/>
        <v>9704.5200000000041</v>
      </c>
      <c r="AL63" s="440">
        <f t="shared" si="26"/>
        <v>9781.5400000000045</v>
      </c>
      <c r="AM63" s="440">
        <f t="shared" si="26"/>
        <v>9858.5600000000049</v>
      </c>
      <c r="AN63" s="440">
        <f t="shared" si="26"/>
        <v>9935.5800000000054</v>
      </c>
      <c r="AO63" s="440">
        <f t="shared" si="26"/>
        <v>10012.600000000006</v>
      </c>
      <c r="AP63" s="440">
        <f t="shared" si="26"/>
        <v>10089.620000000006</v>
      </c>
      <c r="AQ63" s="440">
        <f t="shared" si="26"/>
        <v>10166.640000000007</v>
      </c>
      <c r="AR63" s="440">
        <f t="shared" si="26"/>
        <v>10243.660000000007</v>
      </c>
    </row>
    <row r="64" spans="1:44" x14ac:dyDescent="0.2">
      <c r="A64" s="380"/>
      <c r="B64" s="380" t="s">
        <v>268</v>
      </c>
      <c r="C64" s="181" t="s">
        <v>112</v>
      </c>
      <c r="D64" s="440">
        <f>SUM(F64:AR64)</f>
        <v>332157.99239999999</v>
      </c>
      <c r="E64" s="380"/>
      <c r="F64" s="440">
        <f t="shared" ref="F64:AR64" si="27">F45</f>
        <v>7097.393</v>
      </c>
      <c r="G64" s="440">
        <f t="shared" si="27"/>
        <v>7172.1023999999998</v>
      </c>
      <c r="H64" s="440">
        <f t="shared" si="27"/>
        <v>7246.8117999999995</v>
      </c>
      <c r="I64" s="440">
        <f t="shared" si="27"/>
        <v>7321.5211999999992</v>
      </c>
      <c r="J64" s="440">
        <f t="shared" si="27"/>
        <v>7396.230599999998</v>
      </c>
      <c r="K64" s="440">
        <f t="shared" si="27"/>
        <v>7470.9399999999978</v>
      </c>
      <c r="L64" s="440">
        <f t="shared" si="27"/>
        <v>7545.6493999999975</v>
      </c>
      <c r="M64" s="440">
        <f t="shared" si="27"/>
        <v>7620.3587999999972</v>
      </c>
      <c r="N64" s="440">
        <f t="shared" si="27"/>
        <v>7695.068199999997</v>
      </c>
      <c r="O64" s="440">
        <f t="shared" si="27"/>
        <v>7769.7775999999958</v>
      </c>
      <c r="P64" s="440">
        <f t="shared" si="27"/>
        <v>7844.4869999999955</v>
      </c>
      <c r="Q64" s="440">
        <f t="shared" si="27"/>
        <v>7919.1963999999953</v>
      </c>
      <c r="R64" s="440">
        <f t="shared" si="27"/>
        <v>7993.9057999999959</v>
      </c>
      <c r="S64" s="440">
        <f t="shared" si="27"/>
        <v>8068.6151999999965</v>
      </c>
      <c r="T64" s="440">
        <f t="shared" si="27"/>
        <v>8143.3245999999963</v>
      </c>
      <c r="U64" s="440">
        <f t="shared" si="27"/>
        <v>8218.0339999999978</v>
      </c>
      <c r="V64" s="440">
        <f t="shared" si="27"/>
        <v>8292.7433999999976</v>
      </c>
      <c r="W64" s="440">
        <f t="shared" si="27"/>
        <v>8367.4527999999973</v>
      </c>
      <c r="X64" s="440">
        <f t="shared" si="27"/>
        <v>8442.1621999999988</v>
      </c>
      <c r="Y64" s="440">
        <f t="shared" si="27"/>
        <v>8516.8715999999986</v>
      </c>
      <c r="Z64" s="440">
        <f t="shared" si="27"/>
        <v>8591.5809999999983</v>
      </c>
      <c r="AA64" s="440">
        <f t="shared" si="27"/>
        <v>8666.2903999999999</v>
      </c>
      <c r="AB64" s="440">
        <f t="shared" si="27"/>
        <v>8740.9997999999996</v>
      </c>
      <c r="AC64" s="440">
        <f t="shared" si="27"/>
        <v>8815.7092000000011</v>
      </c>
      <c r="AD64" s="440">
        <f t="shared" si="27"/>
        <v>8890.4186000000009</v>
      </c>
      <c r="AE64" s="440">
        <f t="shared" si="27"/>
        <v>8965.1280000000006</v>
      </c>
      <c r="AF64" s="440">
        <f t="shared" si="27"/>
        <v>9039.8374000000022</v>
      </c>
      <c r="AG64" s="440">
        <f t="shared" si="27"/>
        <v>9114.5468000000019</v>
      </c>
      <c r="AH64" s="440">
        <f t="shared" si="27"/>
        <v>9189.2562000000016</v>
      </c>
      <c r="AI64" s="440">
        <f t="shared" si="27"/>
        <v>9263.9656000000032</v>
      </c>
      <c r="AJ64" s="440">
        <f t="shared" si="27"/>
        <v>9338.6750000000029</v>
      </c>
      <c r="AK64" s="440">
        <f t="shared" si="27"/>
        <v>9413.3844000000045</v>
      </c>
      <c r="AL64" s="440">
        <f t="shared" si="27"/>
        <v>9488.0938000000042</v>
      </c>
      <c r="AM64" s="440">
        <f t="shared" si="27"/>
        <v>9562.8032000000039</v>
      </c>
      <c r="AN64" s="440">
        <f t="shared" si="27"/>
        <v>9637.5126000000055</v>
      </c>
      <c r="AO64" s="440">
        <f t="shared" si="27"/>
        <v>9712.2220000000052</v>
      </c>
      <c r="AP64" s="440">
        <f t="shared" si="27"/>
        <v>9786.9314000000049</v>
      </c>
      <c r="AQ64" s="440">
        <f t="shared" si="27"/>
        <v>9861.6408000000065</v>
      </c>
      <c r="AR64" s="440">
        <f t="shared" si="27"/>
        <v>9936.3502000000062</v>
      </c>
    </row>
    <row r="65" spans="1:44" x14ac:dyDescent="0.2">
      <c r="A65" s="380"/>
      <c r="B65" s="380" t="s">
        <v>269</v>
      </c>
      <c r="C65" s="181" t="s">
        <v>112</v>
      </c>
      <c r="D65" s="440">
        <f>SUM(F65:AR65)</f>
        <v>10272.927600000001</v>
      </c>
      <c r="E65" s="380"/>
      <c r="F65" s="440">
        <f t="shared" ref="F65:AR65" si="28">F46</f>
        <v>219.50700000000001</v>
      </c>
      <c r="G65" s="440">
        <f t="shared" si="28"/>
        <v>221.8176</v>
      </c>
      <c r="H65" s="440">
        <f t="shared" si="28"/>
        <v>224.12819999999999</v>
      </c>
      <c r="I65" s="440">
        <f t="shared" si="28"/>
        <v>226.43879999999996</v>
      </c>
      <c r="J65" s="440">
        <f t="shared" si="28"/>
        <v>228.74939999999995</v>
      </c>
      <c r="K65" s="440">
        <f t="shared" si="28"/>
        <v>231.05999999999995</v>
      </c>
      <c r="L65" s="440">
        <f t="shared" si="28"/>
        <v>233.37059999999991</v>
      </c>
      <c r="M65" s="440">
        <f t="shared" si="28"/>
        <v>235.6811999999999</v>
      </c>
      <c r="N65" s="440">
        <f t="shared" si="28"/>
        <v>237.9917999999999</v>
      </c>
      <c r="O65" s="440">
        <f t="shared" si="28"/>
        <v>240.30239999999989</v>
      </c>
      <c r="P65" s="440">
        <f t="shared" si="28"/>
        <v>242.61299999999986</v>
      </c>
      <c r="Q65" s="440">
        <f t="shared" si="28"/>
        <v>244.92359999999985</v>
      </c>
      <c r="R65" s="440">
        <f t="shared" si="28"/>
        <v>247.23419999999987</v>
      </c>
      <c r="S65" s="440">
        <f t="shared" si="28"/>
        <v>249.54479999999987</v>
      </c>
      <c r="T65" s="440">
        <f t="shared" si="28"/>
        <v>251.85539999999989</v>
      </c>
      <c r="U65" s="440">
        <f t="shared" si="28"/>
        <v>254.16599999999991</v>
      </c>
      <c r="V65" s="440">
        <f t="shared" si="28"/>
        <v>256.47659999999991</v>
      </c>
      <c r="W65" s="440">
        <f t="shared" si="28"/>
        <v>258.78719999999993</v>
      </c>
      <c r="X65" s="440">
        <f t="shared" si="28"/>
        <v>261.09779999999995</v>
      </c>
      <c r="Y65" s="440">
        <f t="shared" si="28"/>
        <v>263.40839999999997</v>
      </c>
      <c r="Z65" s="440">
        <f t="shared" si="28"/>
        <v>265.71899999999999</v>
      </c>
      <c r="AA65" s="440">
        <f t="shared" si="28"/>
        <v>268.02959999999996</v>
      </c>
      <c r="AB65" s="440">
        <f t="shared" si="28"/>
        <v>270.34019999999998</v>
      </c>
      <c r="AC65" s="440">
        <f t="shared" si="28"/>
        <v>272.6508</v>
      </c>
      <c r="AD65" s="440">
        <f t="shared" si="28"/>
        <v>274.96140000000003</v>
      </c>
      <c r="AE65" s="440">
        <f t="shared" si="28"/>
        <v>277.27200000000005</v>
      </c>
      <c r="AF65" s="440">
        <f t="shared" si="28"/>
        <v>279.58260000000007</v>
      </c>
      <c r="AG65" s="440">
        <f t="shared" si="28"/>
        <v>281.89320000000004</v>
      </c>
      <c r="AH65" s="440">
        <f t="shared" si="28"/>
        <v>284.20380000000006</v>
      </c>
      <c r="AI65" s="440">
        <f t="shared" si="28"/>
        <v>286.51440000000008</v>
      </c>
      <c r="AJ65" s="440">
        <f t="shared" si="28"/>
        <v>288.8250000000001</v>
      </c>
      <c r="AK65" s="440">
        <f t="shared" si="28"/>
        <v>291.13560000000012</v>
      </c>
      <c r="AL65" s="440">
        <f t="shared" si="28"/>
        <v>293.44620000000015</v>
      </c>
      <c r="AM65" s="440">
        <f t="shared" si="28"/>
        <v>295.75680000000011</v>
      </c>
      <c r="AN65" s="440">
        <f t="shared" si="28"/>
        <v>298.06740000000013</v>
      </c>
      <c r="AO65" s="440">
        <f t="shared" si="28"/>
        <v>300.37800000000016</v>
      </c>
      <c r="AP65" s="440">
        <f t="shared" si="28"/>
        <v>302.68860000000018</v>
      </c>
      <c r="AQ65" s="440">
        <f t="shared" si="28"/>
        <v>304.9992000000002</v>
      </c>
      <c r="AR65" s="440">
        <f t="shared" si="28"/>
        <v>307.30980000000022</v>
      </c>
    </row>
    <row r="66" spans="1:44" x14ac:dyDescent="0.2">
      <c r="A66" s="380"/>
      <c r="B66" s="380"/>
      <c r="C66" s="11"/>
      <c r="D66" s="380"/>
      <c r="E66" s="380"/>
      <c r="F66" s="380"/>
      <c r="G66" s="380"/>
      <c r="H66" s="380"/>
      <c r="I66" s="380"/>
      <c r="J66" s="380"/>
      <c r="K66" s="380"/>
      <c r="L66" s="380"/>
      <c r="M66" s="380"/>
      <c r="N66" s="380"/>
      <c r="O66" s="380"/>
      <c r="P66" s="380"/>
      <c r="Q66" s="380"/>
      <c r="R66" s="380"/>
      <c r="S66" s="380"/>
      <c r="T66" s="380"/>
      <c r="U66" s="380"/>
      <c r="V66" s="380"/>
      <c r="W66" s="380"/>
      <c r="X66" s="380"/>
      <c r="Y66" s="380"/>
      <c r="Z66" s="380"/>
      <c r="AA66" s="380"/>
      <c r="AB66" s="380"/>
      <c r="AC66" s="380"/>
      <c r="AD66" s="380"/>
      <c r="AE66" s="380"/>
      <c r="AF66" s="380"/>
      <c r="AG66" s="380"/>
      <c r="AH66" s="380"/>
      <c r="AI66" s="380"/>
      <c r="AJ66" s="380"/>
      <c r="AK66" s="380"/>
      <c r="AL66" s="380"/>
      <c r="AM66" s="380"/>
      <c r="AN66" s="380"/>
      <c r="AO66" s="380"/>
      <c r="AP66" s="380"/>
      <c r="AQ66" s="380"/>
      <c r="AR66" s="380"/>
    </row>
    <row r="67" spans="1:44" ht="15" x14ac:dyDescent="0.25">
      <c r="A67" s="2" t="s">
        <v>271</v>
      </c>
      <c r="B67" s="380"/>
      <c r="C67" s="181"/>
      <c r="D67" s="440"/>
      <c r="E67" s="417"/>
      <c r="F67" s="417"/>
      <c r="G67" s="417"/>
      <c r="H67" s="417"/>
      <c r="I67" s="417"/>
      <c r="J67" s="417"/>
      <c r="K67" s="417"/>
      <c r="L67" s="417"/>
      <c r="M67" s="417"/>
      <c r="N67" s="417"/>
      <c r="O67" s="417"/>
      <c r="P67" s="417"/>
      <c r="Q67" s="417"/>
      <c r="R67" s="417"/>
      <c r="S67" s="417"/>
      <c r="T67" s="417"/>
      <c r="U67" s="417"/>
      <c r="V67" s="417"/>
      <c r="W67" s="417"/>
      <c r="X67" s="417"/>
      <c r="Y67" s="417"/>
      <c r="Z67" s="417"/>
      <c r="AA67" s="417"/>
      <c r="AB67" s="417"/>
      <c r="AC67" s="417"/>
      <c r="AD67" s="417"/>
      <c r="AE67" s="417"/>
      <c r="AF67" s="417"/>
      <c r="AG67" s="417"/>
      <c r="AH67" s="417"/>
      <c r="AI67" s="417"/>
      <c r="AJ67" s="417"/>
      <c r="AK67" s="417"/>
      <c r="AL67" s="417"/>
      <c r="AM67" s="417"/>
      <c r="AN67" s="417"/>
      <c r="AO67" s="417"/>
      <c r="AP67" s="417"/>
      <c r="AQ67" s="417"/>
      <c r="AR67" s="417"/>
    </row>
    <row r="68" spans="1:44" ht="15" x14ac:dyDescent="0.25">
      <c r="A68" s="2"/>
      <c r="B68" s="2" t="s">
        <v>277</v>
      </c>
      <c r="C68" s="181"/>
      <c r="D68" s="440"/>
      <c r="E68" s="417"/>
      <c r="F68" s="417"/>
      <c r="G68" s="417"/>
      <c r="H68" s="417"/>
      <c r="I68" s="417"/>
      <c r="J68" s="417"/>
      <c r="K68" s="417"/>
      <c r="L68" s="417"/>
      <c r="M68" s="417"/>
      <c r="N68" s="417"/>
      <c r="O68" s="417"/>
      <c r="P68" s="417"/>
      <c r="Q68" s="417"/>
      <c r="R68" s="417"/>
      <c r="S68" s="417"/>
      <c r="T68" s="417"/>
      <c r="U68" s="417"/>
      <c r="V68" s="417"/>
      <c r="W68" s="417"/>
      <c r="X68" s="417"/>
      <c r="Y68" s="417"/>
      <c r="Z68" s="417"/>
      <c r="AA68" s="417"/>
      <c r="AB68" s="417"/>
      <c r="AC68" s="417"/>
      <c r="AD68" s="417"/>
      <c r="AE68" s="417"/>
      <c r="AF68" s="417"/>
      <c r="AG68" s="417"/>
      <c r="AH68" s="417"/>
      <c r="AI68" s="417"/>
      <c r="AJ68" s="417"/>
      <c r="AK68" s="417"/>
      <c r="AL68" s="417"/>
      <c r="AM68" s="417"/>
      <c r="AN68" s="417"/>
      <c r="AO68" s="417"/>
      <c r="AP68" s="417"/>
      <c r="AQ68" s="417"/>
      <c r="AR68" s="417"/>
    </row>
    <row r="69" spans="1:44" ht="15" x14ac:dyDescent="0.25">
      <c r="A69" s="2"/>
      <c r="B69" s="380" t="s">
        <v>277</v>
      </c>
      <c r="C69" s="181" t="s">
        <v>196</v>
      </c>
      <c r="D69" s="440">
        <f>SUM(F69:AR69)</f>
        <v>2885.9727851983571</v>
      </c>
      <c r="E69" s="380"/>
      <c r="F69" s="440">
        <f>F54</f>
        <v>66.680335831680836</v>
      </c>
      <c r="G69" s="440">
        <f t="shared" ref="G69:AR69" si="29">G54</f>
        <v>67.040359895154836</v>
      </c>
      <c r="H69" s="440">
        <f t="shared" si="29"/>
        <v>67.402327819958614</v>
      </c>
      <c r="I69" s="440">
        <f t="shared" si="29"/>
        <v>67.766250101493057</v>
      </c>
      <c r="J69" s="440">
        <f t="shared" si="29"/>
        <v>68.132137291826353</v>
      </c>
      <c r="K69" s="440">
        <f t="shared" si="29"/>
        <v>68.500000000000014</v>
      </c>
      <c r="L69" s="440">
        <f t="shared" si="29"/>
        <v>68.869848892336449</v>
      </c>
      <c r="M69" s="440">
        <f t="shared" si="29"/>
        <v>69.241694692748254</v>
      </c>
      <c r="N69" s="440">
        <f t="shared" si="29"/>
        <v>69.615548183049142</v>
      </c>
      <c r="O69" s="440">
        <f t="shared" si="29"/>
        <v>69.991420203266586</v>
      </c>
      <c r="P69" s="440">
        <f t="shared" si="29"/>
        <v>70.369321651956099</v>
      </c>
      <c r="Q69" s="440">
        <f t="shared" si="29"/>
        <v>70.749263486517293</v>
      </c>
      <c r="R69" s="440">
        <f t="shared" si="29"/>
        <v>71.131256723511555</v>
      </c>
      <c r="S69" s="440">
        <f t="shared" si="29"/>
        <v>71.515312438981468</v>
      </c>
      <c r="T69" s="440">
        <f t="shared" si="29"/>
        <v>71.901441768772003</v>
      </c>
      <c r="U69" s="440">
        <f t="shared" si="29"/>
        <v>72.289655908853362</v>
      </c>
      <c r="V69" s="440">
        <f t="shared" si="29"/>
        <v>72.679966115645641</v>
      </c>
      <c r="W69" s="440">
        <f t="shared" si="29"/>
        <v>73.072383706345221</v>
      </c>
      <c r="X69" s="440">
        <f t="shared" si="29"/>
        <v>73.466920059252885</v>
      </c>
      <c r="Y69" s="440">
        <f t="shared" si="29"/>
        <v>73.863586614103752</v>
      </c>
      <c r="Z69" s="440">
        <f t="shared" si="29"/>
        <v>74.262394872398971</v>
      </c>
      <c r="AA69" s="440">
        <f t="shared" si="29"/>
        <v>74.663356397739236</v>
      </c>
      <c r="AB69" s="440">
        <f t="shared" si="29"/>
        <v>75.066482816160033</v>
      </c>
      <c r="AC69" s="440">
        <f t="shared" si="29"/>
        <v>75.471785816468767</v>
      </c>
      <c r="AD69" s="440">
        <f t="shared" si="29"/>
        <v>75.879277150583704</v>
      </c>
      <c r="AE69" s="440">
        <f t="shared" si="29"/>
        <v>76.288968633874688</v>
      </c>
      <c r="AF69" s="440">
        <f t="shared" si="29"/>
        <v>76.700872145505741</v>
      </c>
      <c r="AG69" s="440">
        <f t="shared" si="29"/>
        <v>77.114999628779515</v>
      </c>
      <c r="AH69" s="440">
        <f t="shared" si="29"/>
        <v>77.531363091483584</v>
      </c>
      <c r="AI69" s="440">
        <f t="shared" si="29"/>
        <v>77.949974606238612</v>
      </c>
      <c r="AJ69" s="440">
        <f t="shared" si="29"/>
        <v>78.370846310848407</v>
      </c>
      <c r="AK69" s="440">
        <f t="shared" si="29"/>
        <v>78.793990408651851</v>
      </c>
      <c r="AL69" s="440">
        <f t="shared" si="29"/>
        <v>79.219419168876783</v>
      </c>
      <c r="AM69" s="440">
        <f t="shared" si="29"/>
        <v>79.647144926995679</v>
      </c>
      <c r="AN69" s="440">
        <f t="shared" si="29"/>
        <v>80.077180085083398</v>
      </c>
      <c r="AO69" s="440">
        <f t="shared" si="29"/>
        <v>80.50953711217673</v>
      </c>
      <c r="AP69" s="440">
        <f t="shared" si="29"/>
        <v>80.944228544635962</v>
      </c>
      <c r="AQ69" s="440">
        <f t="shared" si="29"/>
        <v>81.381266986508379</v>
      </c>
      <c r="AR69" s="440">
        <f t="shared" si="29"/>
        <v>81.820665109893724</v>
      </c>
    </row>
    <row r="70" spans="1:44" ht="15" x14ac:dyDescent="0.25">
      <c r="A70" s="2"/>
      <c r="B70" s="380"/>
      <c r="C70" s="181"/>
      <c r="D70" s="440"/>
      <c r="E70" s="380"/>
      <c r="F70" s="440"/>
      <c r="G70" s="440"/>
      <c r="H70" s="440"/>
      <c r="I70" s="440"/>
      <c r="J70" s="440"/>
      <c r="K70" s="440"/>
      <c r="L70" s="440"/>
      <c r="M70" s="440"/>
      <c r="N70" s="440"/>
      <c r="O70" s="440"/>
      <c r="P70" s="440"/>
      <c r="Q70" s="440"/>
      <c r="R70" s="440"/>
      <c r="S70" s="440"/>
      <c r="T70" s="440"/>
      <c r="U70" s="440"/>
      <c r="V70" s="440"/>
      <c r="W70" s="440"/>
      <c r="X70" s="440"/>
      <c r="Y70" s="440"/>
      <c r="Z70" s="440"/>
      <c r="AA70" s="440"/>
      <c r="AB70" s="440"/>
      <c r="AC70" s="440"/>
      <c r="AD70" s="440"/>
      <c r="AE70" s="440"/>
      <c r="AF70" s="440"/>
      <c r="AG70" s="440"/>
      <c r="AH70" s="440"/>
      <c r="AI70" s="440"/>
      <c r="AJ70" s="440"/>
      <c r="AK70" s="440"/>
      <c r="AL70" s="440"/>
      <c r="AM70" s="440"/>
      <c r="AN70" s="440"/>
      <c r="AO70" s="440"/>
      <c r="AP70" s="440"/>
      <c r="AQ70" s="440"/>
      <c r="AR70" s="440"/>
    </row>
    <row r="71" spans="1:44" ht="15" x14ac:dyDescent="0.25">
      <c r="A71" s="2"/>
      <c r="B71" s="2" t="s">
        <v>278</v>
      </c>
      <c r="C71" s="181"/>
      <c r="D71" s="440"/>
      <c r="E71" s="417"/>
      <c r="F71" s="417"/>
      <c r="G71" s="417"/>
      <c r="H71" s="417"/>
      <c r="I71" s="417"/>
      <c r="J71" s="417"/>
      <c r="K71" s="417"/>
      <c r="L71" s="417"/>
      <c r="M71" s="417"/>
      <c r="N71" s="417"/>
      <c r="O71" s="417"/>
      <c r="P71" s="417"/>
      <c r="Q71" s="417"/>
      <c r="R71" s="417"/>
      <c r="S71" s="417"/>
      <c r="T71" s="417"/>
      <c r="U71" s="417"/>
      <c r="V71" s="417"/>
      <c r="W71" s="417"/>
      <c r="X71" s="417"/>
      <c r="Y71" s="417"/>
      <c r="Z71" s="417"/>
      <c r="AA71" s="417"/>
      <c r="AB71" s="417"/>
      <c r="AC71" s="417"/>
      <c r="AD71" s="417"/>
      <c r="AE71" s="417"/>
      <c r="AF71" s="417"/>
      <c r="AG71" s="417"/>
      <c r="AH71" s="417"/>
      <c r="AI71" s="417"/>
      <c r="AJ71" s="417"/>
      <c r="AK71" s="417"/>
      <c r="AL71" s="417"/>
      <c r="AM71" s="417"/>
      <c r="AN71" s="417"/>
      <c r="AO71" s="417"/>
      <c r="AP71" s="417"/>
      <c r="AQ71" s="417"/>
      <c r="AR71" s="417"/>
    </row>
    <row r="72" spans="1:44" ht="15" x14ac:dyDescent="0.25">
      <c r="A72" s="2"/>
      <c r="B72" s="380" t="s">
        <v>279</v>
      </c>
      <c r="C72" s="181" t="s">
        <v>76</v>
      </c>
      <c r="D72" s="454">
        <f>Inputs!$E$154</f>
        <v>0.01</v>
      </c>
      <c r="E72" s="417"/>
      <c r="F72" s="417"/>
      <c r="G72" s="417"/>
      <c r="H72" s="417"/>
      <c r="I72" s="417"/>
      <c r="J72" s="417"/>
      <c r="K72" s="417"/>
      <c r="L72" s="417"/>
      <c r="M72" s="417"/>
      <c r="N72" s="417"/>
      <c r="O72" s="417"/>
      <c r="P72" s="417"/>
      <c r="Q72" s="417"/>
      <c r="R72" s="417"/>
      <c r="S72" s="417"/>
      <c r="T72" s="417"/>
      <c r="U72" s="417"/>
      <c r="V72" s="417"/>
      <c r="W72" s="417"/>
      <c r="X72" s="417"/>
      <c r="Y72" s="417"/>
      <c r="Z72" s="417"/>
      <c r="AA72" s="417"/>
      <c r="AB72" s="417"/>
      <c r="AC72" s="417"/>
      <c r="AD72" s="417"/>
      <c r="AE72" s="417"/>
      <c r="AF72" s="417"/>
      <c r="AG72" s="417"/>
      <c r="AH72" s="417"/>
      <c r="AI72" s="417"/>
      <c r="AJ72" s="417"/>
      <c r="AK72" s="417"/>
      <c r="AL72" s="417"/>
      <c r="AM72" s="417"/>
      <c r="AN72" s="417"/>
      <c r="AO72" s="417"/>
      <c r="AP72" s="417"/>
      <c r="AQ72" s="417"/>
      <c r="AR72" s="417"/>
    </row>
    <row r="73" spans="1:44" ht="15" x14ac:dyDescent="0.25">
      <c r="A73" s="2"/>
      <c r="B73" s="380"/>
      <c r="C73" s="181"/>
      <c r="D73" s="454"/>
      <c r="E73" s="417"/>
      <c r="F73" s="417"/>
      <c r="G73" s="417"/>
      <c r="H73" s="417"/>
      <c r="I73" s="417"/>
      <c r="J73" s="417"/>
      <c r="K73" s="417"/>
      <c r="L73" s="417"/>
      <c r="M73" s="417"/>
      <c r="N73" s="417"/>
      <c r="O73" s="417"/>
      <c r="P73" s="417"/>
      <c r="Q73" s="417"/>
      <c r="R73" s="417"/>
      <c r="S73" s="417"/>
      <c r="T73" s="417"/>
      <c r="U73" s="417"/>
      <c r="V73" s="417"/>
      <c r="W73" s="417"/>
      <c r="X73" s="417"/>
      <c r="Y73" s="417"/>
      <c r="Z73" s="417"/>
      <c r="AA73" s="417"/>
      <c r="AB73" s="417"/>
      <c r="AC73" s="417"/>
      <c r="AD73" s="417"/>
      <c r="AE73" s="417"/>
      <c r="AF73" s="417"/>
      <c r="AG73" s="417"/>
      <c r="AH73" s="417"/>
      <c r="AI73" s="417"/>
      <c r="AJ73" s="417"/>
      <c r="AK73" s="417"/>
      <c r="AL73" s="417"/>
      <c r="AM73" s="417"/>
      <c r="AN73" s="417"/>
      <c r="AO73" s="417"/>
      <c r="AP73" s="417"/>
      <c r="AQ73" s="417"/>
      <c r="AR73" s="417"/>
    </row>
    <row r="74" spans="1:44" ht="15" x14ac:dyDescent="0.25">
      <c r="A74" s="2"/>
      <c r="B74" s="380" t="str">
        <f>Inputs!C159</f>
        <v>Ramp Up of Ped Demand - Year 1</v>
      </c>
      <c r="C74" s="181" t="s">
        <v>76</v>
      </c>
      <c r="D74" s="454">
        <f>Inputs!E159</f>
        <v>0.5</v>
      </c>
      <c r="E74" s="417"/>
      <c r="F74" s="455">
        <f>IF(F$12=1,$D74,0)</f>
        <v>0</v>
      </c>
      <c r="G74" s="455">
        <f t="shared" ref="G74:V74" si="30">IF(G$12=1,$D74,0)</f>
        <v>0</v>
      </c>
      <c r="H74" s="455">
        <f t="shared" si="30"/>
        <v>0</v>
      </c>
      <c r="I74" s="455">
        <f t="shared" si="30"/>
        <v>0</v>
      </c>
      <c r="J74" s="455">
        <f t="shared" si="30"/>
        <v>0</v>
      </c>
      <c r="K74" s="455">
        <f t="shared" si="30"/>
        <v>0</v>
      </c>
      <c r="L74" s="455">
        <f t="shared" si="30"/>
        <v>0</v>
      </c>
      <c r="M74" s="455">
        <f t="shared" si="30"/>
        <v>0</v>
      </c>
      <c r="N74" s="455">
        <f t="shared" si="30"/>
        <v>0</v>
      </c>
      <c r="O74" s="455">
        <f t="shared" si="30"/>
        <v>0.5</v>
      </c>
      <c r="P74" s="455">
        <f t="shared" si="30"/>
        <v>0</v>
      </c>
      <c r="Q74" s="455">
        <f t="shared" si="30"/>
        <v>0</v>
      </c>
      <c r="R74" s="455">
        <f t="shared" si="30"/>
        <v>0</v>
      </c>
      <c r="S74" s="455">
        <f t="shared" si="30"/>
        <v>0</v>
      </c>
      <c r="T74" s="455">
        <f t="shared" si="30"/>
        <v>0</v>
      </c>
      <c r="U74" s="455">
        <f t="shared" si="30"/>
        <v>0</v>
      </c>
      <c r="V74" s="455">
        <f t="shared" si="30"/>
        <v>0</v>
      </c>
      <c r="W74" s="455">
        <f t="shared" ref="W74:AL74" si="31">IF(W$12=1,$D74,0)</f>
        <v>0</v>
      </c>
      <c r="X74" s="455">
        <f t="shared" si="31"/>
        <v>0</v>
      </c>
      <c r="Y74" s="455">
        <f t="shared" si="31"/>
        <v>0</v>
      </c>
      <c r="Z74" s="455">
        <f t="shared" si="31"/>
        <v>0</v>
      </c>
      <c r="AA74" s="455">
        <f t="shared" si="31"/>
        <v>0</v>
      </c>
      <c r="AB74" s="455">
        <f t="shared" si="31"/>
        <v>0</v>
      </c>
      <c r="AC74" s="455">
        <f t="shared" si="31"/>
        <v>0</v>
      </c>
      <c r="AD74" s="455">
        <f t="shared" si="31"/>
        <v>0</v>
      </c>
      <c r="AE74" s="455">
        <f t="shared" si="31"/>
        <v>0</v>
      </c>
      <c r="AF74" s="455">
        <f t="shared" si="31"/>
        <v>0</v>
      </c>
      <c r="AG74" s="455">
        <f t="shared" si="31"/>
        <v>0</v>
      </c>
      <c r="AH74" s="455">
        <f t="shared" si="31"/>
        <v>0</v>
      </c>
      <c r="AI74" s="455">
        <f t="shared" si="31"/>
        <v>0</v>
      </c>
      <c r="AJ74" s="455">
        <f t="shared" si="31"/>
        <v>0</v>
      </c>
      <c r="AK74" s="455">
        <f t="shared" si="31"/>
        <v>0</v>
      </c>
      <c r="AL74" s="455">
        <f t="shared" si="31"/>
        <v>0</v>
      </c>
      <c r="AM74" s="455">
        <f t="shared" ref="AM74:AR74" si="32">IF(AM$12=1,$D74,0)</f>
        <v>0</v>
      </c>
      <c r="AN74" s="455">
        <f t="shared" si="32"/>
        <v>0</v>
      </c>
      <c r="AO74" s="455">
        <f t="shared" si="32"/>
        <v>0</v>
      </c>
      <c r="AP74" s="455">
        <f t="shared" si="32"/>
        <v>0</v>
      </c>
      <c r="AQ74" s="455">
        <f t="shared" si="32"/>
        <v>0</v>
      </c>
      <c r="AR74" s="455">
        <f t="shared" si="32"/>
        <v>0</v>
      </c>
    </row>
    <row r="75" spans="1:44" ht="15" x14ac:dyDescent="0.25">
      <c r="A75" s="2"/>
      <c r="B75" s="380" t="str">
        <f>Inputs!C160</f>
        <v>Ramp Up of Ped Demand - Year 2</v>
      </c>
      <c r="C75" s="181" t="s">
        <v>76</v>
      </c>
      <c r="D75" s="454">
        <f>Inputs!E160</f>
        <v>0.75</v>
      </c>
      <c r="E75" s="417"/>
      <c r="F75" s="455">
        <f>IF(F$12=2,$D75,0)</f>
        <v>0</v>
      </c>
      <c r="G75" s="455">
        <f t="shared" ref="G75:AR75" si="33">IF(G$12=2,$D75,0)</f>
        <v>0</v>
      </c>
      <c r="H75" s="455">
        <f t="shared" si="33"/>
        <v>0</v>
      </c>
      <c r="I75" s="455">
        <f t="shared" si="33"/>
        <v>0</v>
      </c>
      <c r="J75" s="455">
        <f t="shared" si="33"/>
        <v>0</v>
      </c>
      <c r="K75" s="455">
        <f t="shared" si="33"/>
        <v>0</v>
      </c>
      <c r="L75" s="455">
        <f t="shared" si="33"/>
        <v>0</v>
      </c>
      <c r="M75" s="455">
        <f t="shared" si="33"/>
        <v>0</v>
      </c>
      <c r="N75" s="455">
        <f t="shared" si="33"/>
        <v>0</v>
      </c>
      <c r="O75" s="455">
        <f t="shared" si="33"/>
        <v>0</v>
      </c>
      <c r="P75" s="455">
        <f t="shared" si="33"/>
        <v>0.75</v>
      </c>
      <c r="Q75" s="455">
        <f t="shared" si="33"/>
        <v>0</v>
      </c>
      <c r="R75" s="455">
        <f t="shared" si="33"/>
        <v>0</v>
      </c>
      <c r="S75" s="455">
        <f t="shared" si="33"/>
        <v>0</v>
      </c>
      <c r="T75" s="455">
        <f t="shared" si="33"/>
        <v>0</v>
      </c>
      <c r="U75" s="455">
        <f t="shared" si="33"/>
        <v>0</v>
      </c>
      <c r="V75" s="455">
        <f t="shared" si="33"/>
        <v>0</v>
      </c>
      <c r="W75" s="455">
        <f t="shared" si="33"/>
        <v>0</v>
      </c>
      <c r="X75" s="455">
        <f t="shared" si="33"/>
        <v>0</v>
      </c>
      <c r="Y75" s="455">
        <f t="shared" si="33"/>
        <v>0</v>
      </c>
      <c r="Z75" s="455">
        <f t="shared" si="33"/>
        <v>0</v>
      </c>
      <c r="AA75" s="455">
        <f t="shared" si="33"/>
        <v>0</v>
      </c>
      <c r="AB75" s="455">
        <f t="shared" si="33"/>
        <v>0</v>
      </c>
      <c r="AC75" s="455">
        <f t="shared" si="33"/>
        <v>0</v>
      </c>
      <c r="AD75" s="455">
        <f t="shared" si="33"/>
        <v>0</v>
      </c>
      <c r="AE75" s="455">
        <f t="shared" si="33"/>
        <v>0</v>
      </c>
      <c r="AF75" s="455">
        <f t="shared" si="33"/>
        <v>0</v>
      </c>
      <c r="AG75" s="455">
        <f t="shared" si="33"/>
        <v>0</v>
      </c>
      <c r="AH75" s="455">
        <f t="shared" si="33"/>
        <v>0</v>
      </c>
      <c r="AI75" s="455">
        <f t="shared" si="33"/>
        <v>0</v>
      </c>
      <c r="AJ75" s="455">
        <f t="shared" si="33"/>
        <v>0</v>
      </c>
      <c r="AK75" s="455">
        <f t="shared" si="33"/>
        <v>0</v>
      </c>
      <c r="AL75" s="455">
        <f t="shared" si="33"/>
        <v>0</v>
      </c>
      <c r="AM75" s="455">
        <f t="shared" si="33"/>
        <v>0</v>
      </c>
      <c r="AN75" s="455">
        <f t="shared" si="33"/>
        <v>0</v>
      </c>
      <c r="AO75" s="455">
        <f t="shared" si="33"/>
        <v>0</v>
      </c>
      <c r="AP75" s="455">
        <f t="shared" si="33"/>
        <v>0</v>
      </c>
      <c r="AQ75" s="455">
        <f t="shared" si="33"/>
        <v>0</v>
      </c>
      <c r="AR75" s="455">
        <f t="shared" si="33"/>
        <v>0</v>
      </c>
    </row>
    <row r="76" spans="1:44" ht="15" x14ac:dyDescent="0.25">
      <c r="A76" s="2"/>
      <c r="B76" s="380" t="str">
        <f>Inputs!C161</f>
        <v>Ramp Up of Ped Demand - Year 3</v>
      </c>
      <c r="C76" s="181" t="s">
        <v>76</v>
      </c>
      <c r="D76" s="454">
        <f>Inputs!E161</f>
        <v>1</v>
      </c>
      <c r="E76" s="417"/>
      <c r="F76" s="455">
        <f>IF(F$12=3,$D76,0)</f>
        <v>0</v>
      </c>
      <c r="G76" s="455">
        <f t="shared" ref="G76:AR76" si="34">IF(G$12=3,$D76,0)</f>
        <v>0</v>
      </c>
      <c r="H76" s="455">
        <f t="shared" si="34"/>
        <v>0</v>
      </c>
      <c r="I76" s="455">
        <f t="shared" si="34"/>
        <v>0</v>
      </c>
      <c r="J76" s="455">
        <f t="shared" si="34"/>
        <v>0</v>
      </c>
      <c r="K76" s="455">
        <f t="shared" si="34"/>
        <v>0</v>
      </c>
      <c r="L76" s="455">
        <f t="shared" si="34"/>
        <v>0</v>
      </c>
      <c r="M76" s="455">
        <f t="shared" si="34"/>
        <v>0</v>
      </c>
      <c r="N76" s="455">
        <f t="shared" si="34"/>
        <v>0</v>
      </c>
      <c r="O76" s="455">
        <f t="shared" si="34"/>
        <v>0</v>
      </c>
      <c r="P76" s="455">
        <f t="shared" si="34"/>
        <v>0</v>
      </c>
      <c r="Q76" s="455">
        <f t="shared" si="34"/>
        <v>1</v>
      </c>
      <c r="R76" s="455">
        <f t="shared" si="34"/>
        <v>0</v>
      </c>
      <c r="S76" s="455">
        <f t="shared" si="34"/>
        <v>0</v>
      </c>
      <c r="T76" s="455">
        <f t="shared" si="34"/>
        <v>0</v>
      </c>
      <c r="U76" s="455">
        <f t="shared" si="34"/>
        <v>0</v>
      </c>
      <c r="V76" s="455">
        <f t="shared" si="34"/>
        <v>0</v>
      </c>
      <c r="W76" s="455">
        <f t="shared" si="34"/>
        <v>0</v>
      </c>
      <c r="X76" s="455">
        <f t="shared" si="34"/>
        <v>0</v>
      </c>
      <c r="Y76" s="455">
        <f t="shared" si="34"/>
        <v>0</v>
      </c>
      <c r="Z76" s="455">
        <f t="shared" si="34"/>
        <v>0</v>
      </c>
      <c r="AA76" s="455">
        <f t="shared" si="34"/>
        <v>0</v>
      </c>
      <c r="AB76" s="455">
        <f t="shared" si="34"/>
        <v>0</v>
      </c>
      <c r="AC76" s="455">
        <f t="shared" si="34"/>
        <v>0</v>
      </c>
      <c r="AD76" s="455">
        <f t="shared" si="34"/>
        <v>0</v>
      </c>
      <c r="AE76" s="455">
        <f t="shared" si="34"/>
        <v>0</v>
      </c>
      <c r="AF76" s="455">
        <f t="shared" si="34"/>
        <v>0</v>
      </c>
      <c r="AG76" s="455">
        <f t="shared" si="34"/>
        <v>0</v>
      </c>
      <c r="AH76" s="455">
        <f t="shared" si="34"/>
        <v>0</v>
      </c>
      <c r="AI76" s="455">
        <f t="shared" si="34"/>
        <v>0</v>
      </c>
      <c r="AJ76" s="455">
        <f t="shared" si="34"/>
        <v>0</v>
      </c>
      <c r="AK76" s="455">
        <f t="shared" si="34"/>
        <v>0</v>
      </c>
      <c r="AL76" s="455">
        <f t="shared" si="34"/>
        <v>0</v>
      </c>
      <c r="AM76" s="455">
        <f t="shared" si="34"/>
        <v>0</v>
      </c>
      <c r="AN76" s="455">
        <f t="shared" si="34"/>
        <v>0</v>
      </c>
      <c r="AO76" s="455">
        <f t="shared" si="34"/>
        <v>0</v>
      </c>
      <c r="AP76" s="455">
        <f t="shared" si="34"/>
        <v>0</v>
      </c>
      <c r="AQ76" s="455">
        <f t="shared" si="34"/>
        <v>0</v>
      </c>
      <c r="AR76" s="455">
        <f t="shared" si="34"/>
        <v>0</v>
      </c>
    </row>
    <row r="77" spans="1:44" ht="15" x14ac:dyDescent="0.25">
      <c r="A77" s="2"/>
      <c r="B77" s="380" t="s">
        <v>280</v>
      </c>
      <c r="C77" s="181" t="s">
        <v>76</v>
      </c>
      <c r="D77" s="454"/>
      <c r="E77" s="417"/>
      <c r="F77" s="455">
        <f>IF(F$12&gt;3,1,0)</f>
        <v>0</v>
      </c>
      <c r="G77" s="455">
        <f t="shared" ref="G77:AR77" si="35">IF(G$12&gt;3,1,0)</f>
        <v>0</v>
      </c>
      <c r="H77" s="455">
        <f t="shared" si="35"/>
        <v>0</v>
      </c>
      <c r="I77" s="455">
        <f t="shared" si="35"/>
        <v>0</v>
      </c>
      <c r="J77" s="455">
        <f t="shared" si="35"/>
        <v>0</v>
      </c>
      <c r="K77" s="455">
        <f t="shared" si="35"/>
        <v>0</v>
      </c>
      <c r="L77" s="455">
        <f t="shared" si="35"/>
        <v>0</v>
      </c>
      <c r="M77" s="455">
        <f t="shared" si="35"/>
        <v>0</v>
      </c>
      <c r="N77" s="455">
        <f t="shared" si="35"/>
        <v>0</v>
      </c>
      <c r="O77" s="455">
        <f t="shared" si="35"/>
        <v>0</v>
      </c>
      <c r="P77" s="455">
        <f t="shared" si="35"/>
        <v>0</v>
      </c>
      <c r="Q77" s="455">
        <f t="shared" si="35"/>
        <v>0</v>
      </c>
      <c r="R77" s="455">
        <f t="shared" si="35"/>
        <v>1</v>
      </c>
      <c r="S77" s="455">
        <f t="shared" si="35"/>
        <v>1</v>
      </c>
      <c r="T77" s="455">
        <f t="shared" si="35"/>
        <v>1</v>
      </c>
      <c r="U77" s="455">
        <f t="shared" si="35"/>
        <v>1</v>
      </c>
      <c r="V77" s="455">
        <f t="shared" si="35"/>
        <v>1</v>
      </c>
      <c r="W77" s="455">
        <f t="shared" si="35"/>
        <v>1</v>
      </c>
      <c r="X77" s="455">
        <f t="shared" si="35"/>
        <v>1</v>
      </c>
      <c r="Y77" s="455">
        <f t="shared" si="35"/>
        <v>1</v>
      </c>
      <c r="Z77" s="455">
        <f t="shared" si="35"/>
        <v>1</v>
      </c>
      <c r="AA77" s="455">
        <f t="shared" si="35"/>
        <v>1</v>
      </c>
      <c r="AB77" s="455">
        <f t="shared" si="35"/>
        <v>1</v>
      </c>
      <c r="AC77" s="455">
        <f t="shared" si="35"/>
        <v>1</v>
      </c>
      <c r="AD77" s="455">
        <f t="shared" si="35"/>
        <v>1</v>
      </c>
      <c r="AE77" s="455">
        <f t="shared" si="35"/>
        <v>1</v>
      </c>
      <c r="AF77" s="455">
        <f t="shared" si="35"/>
        <v>1</v>
      </c>
      <c r="AG77" s="455">
        <f t="shared" si="35"/>
        <v>1</v>
      </c>
      <c r="AH77" s="455">
        <f t="shared" si="35"/>
        <v>1</v>
      </c>
      <c r="AI77" s="455">
        <f t="shared" si="35"/>
        <v>1</v>
      </c>
      <c r="AJ77" s="455">
        <f t="shared" si="35"/>
        <v>1</v>
      </c>
      <c r="AK77" s="455">
        <f t="shared" si="35"/>
        <v>1</v>
      </c>
      <c r="AL77" s="455">
        <f t="shared" si="35"/>
        <v>1</v>
      </c>
      <c r="AM77" s="455">
        <f t="shared" si="35"/>
        <v>1</v>
      </c>
      <c r="AN77" s="455">
        <f t="shared" si="35"/>
        <v>1</v>
      </c>
      <c r="AO77" s="455">
        <f t="shared" si="35"/>
        <v>1</v>
      </c>
      <c r="AP77" s="455">
        <f t="shared" si="35"/>
        <v>1</v>
      </c>
      <c r="AQ77" s="455">
        <f t="shared" si="35"/>
        <v>1</v>
      </c>
      <c r="AR77" s="455">
        <f t="shared" si="35"/>
        <v>1</v>
      </c>
    </row>
    <row r="78" spans="1:44" ht="15" x14ac:dyDescent="0.25">
      <c r="A78" s="2"/>
      <c r="B78" s="380"/>
      <c r="C78" s="181"/>
      <c r="D78" s="454"/>
      <c r="E78" s="417"/>
      <c r="F78" s="455"/>
      <c r="G78" s="455"/>
      <c r="H78" s="455"/>
      <c r="I78" s="455"/>
      <c r="J78" s="455"/>
      <c r="K78" s="455"/>
      <c r="L78" s="455"/>
      <c r="M78" s="455"/>
      <c r="N78" s="455"/>
      <c r="O78" s="455"/>
      <c r="P78" s="455"/>
      <c r="Q78" s="455"/>
      <c r="R78" s="455"/>
      <c r="S78" s="455"/>
      <c r="T78" s="455"/>
      <c r="U78" s="455"/>
      <c r="V78" s="455"/>
      <c r="W78" s="455"/>
      <c r="X78" s="455"/>
      <c r="Y78" s="455"/>
      <c r="Z78" s="455"/>
      <c r="AA78" s="455"/>
      <c r="AB78" s="455"/>
      <c r="AC78" s="455"/>
      <c r="AD78" s="455"/>
      <c r="AE78" s="455"/>
      <c r="AF78" s="455"/>
      <c r="AG78" s="455"/>
      <c r="AH78" s="455"/>
      <c r="AI78" s="455"/>
      <c r="AJ78" s="455"/>
      <c r="AK78" s="455"/>
      <c r="AL78" s="455"/>
      <c r="AM78" s="455"/>
      <c r="AN78" s="455"/>
      <c r="AO78" s="455"/>
      <c r="AP78" s="455"/>
      <c r="AQ78" s="455"/>
      <c r="AR78" s="455"/>
    </row>
    <row r="79" spans="1:44" ht="15" x14ac:dyDescent="0.25">
      <c r="A79" s="2"/>
      <c r="B79" s="380" t="s">
        <v>281</v>
      </c>
      <c r="C79" s="181" t="s">
        <v>76</v>
      </c>
      <c r="D79" s="454"/>
      <c r="E79" s="417"/>
      <c r="F79" s="455">
        <f t="shared" ref="F79:N79" si="36">SUM(F74:F77)</f>
        <v>0</v>
      </c>
      <c r="G79" s="455">
        <f t="shared" si="36"/>
        <v>0</v>
      </c>
      <c r="H79" s="455">
        <f t="shared" si="36"/>
        <v>0</v>
      </c>
      <c r="I79" s="455">
        <f t="shared" si="36"/>
        <v>0</v>
      </c>
      <c r="J79" s="455">
        <f t="shared" si="36"/>
        <v>0</v>
      </c>
      <c r="K79" s="455">
        <f t="shared" si="36"/>
        <v>0</v>
      </c>
      <c r="L79" s="455">
        <f t="shared" si="36"/>
        <v>0</v>
      </c>
      <c r="M79" s="455">
        <f t="shared" si="36"/>
        <v>0</v>
      </c>
      <c r="N79" s="455">
        <f t="shared" si="36"/>
        <v>0</v>
      </c>
      <c r="O79" s="455">
        <f>SUM(O74:O77)</f>
        <v>0.5</v>
      </c>
      <c r="P79" s="455">
        <f t="shared" ref="P79:AR79" si="37">SUM(P74:P77)</f>
        <v>0.75</v>
      </c>
      <c r="Q79" s="455">
        <f t="shared" si="37"/>
        <v>1</v>
      </c>
      <c r="R79" s="455">
        <f t="shared" si="37"/>
        <v>1</v>
      </c>
      <c r="S79" s="455">
        <f t="shared" si="37"/>
        <v>1</v>
      </c>
      <c r="T79" s="455">
        <f t="shared" si="37"/>
        <v>1</v>
      </c>
      <c r="U79" s="455">
        <f t="shared" si="37"/>
        <v>1</v>
      </c>
      <c r="V79" s="455">
        <f t="shared" si="37"/>
        <v>1</v>
      </c>
      <c r="W79" s="455">
        <f t="shared" si="37"/>
        <v>1</v>
      </c>
      <c r="X79" s="455">
        <f t="shared" si="37"/>
        <v>1</v>
      </c>
      <c r="Y79" s="455">
        <f t="shared" si="37"/>
        <v>1</v>
      </c>
      <c r="Z79" s="455">
        <f t="shared" si="37"/>
        <v>1</v>
      </c>
      <c r="AA79" s="455">
        <f t="shared" si="37"/>
        <v>1</v>
      </c>
      <c r="AB79" s="455">
        <f t="shared" si="37"/>
        <v>1</v>
      </c>
      <c r="AC79" s="455">
        <f t="shared" si="37"/>
        <v>1</v>
      </c>
      <c r="AD79" s="455">
        <f t="shared" si="37"/>
        <v>1</v>
      </c>
      <c r="AE79" s="455">
        <f t="shared" si="37"/>
        <v>1</v>
      </c>
      <c r="AF79" s="455">
        <f t="shared" si="37"/>
        <v>1</v>
      </c>
      <c r="AG79" s="455">
        <f t="shared" si="37"/>
        <v>1</v>
      </c>
      <c r="AH79" s="455">
        <f t="shared" si="37"/>
        <v>1</v>
      </c>
      <c r="AI79" s="455">
        <f t="shared" si="37"/>
        <v>1</v>
      </c>
      <c r="AJ79" s="455">
        <f t="shared" si="37"/>
        <v>1</v>
      </c>
      <c r="AK79" s="455">
        <f t="shared" si="37"/>
        <v>1</v>
      </c>
      <c r="AL79" s="455">
        <f t="shared" si="37"/>
        <v>1</v>
      </c>
      <c r="AM79" s="455">
        <f t="shared" si="37"/>
        <v>1</v>
      </c>
      <c r="AN79" s="455">
        <f t="shared" si="37"/>
        <v>1</v>
      </c>
      <c r="AO79" s="455">
        <f t="shared" si="37"/>
        <v>1</v>
      </c>
      <c r="AP79" s="455">
        <f t="shared" si="37"/>
        <v>1</v>
      </c>
      <c r="AQ79" s="455">
        <f t="shared" si="37"/>
        <v>1</v>
      </c>
      <c r="AR79" s="455">
        <f t="shared" si="37"/>
        <v>1</v>
      </c>
    </row>
    <row r="80" spans="1:44" ht="15" x14ac:dyDescent="0.25">
      <c r="A80" s="2"/>
      <c r="B80" s="380"/>
      <c r="C80" s="181"/>
      <c r="D80" s="454"/>
      <c r="E80" s="417"/>
      <c r="F80" s="417"/>
      <c r="G80" s="417"/>
      <c r="H80" s="417"/>
      <c r="I80" s="417"/>
      <c r="J80" s="417"/>
      <c r="K80" s="417"/>
      <c r="L80" s="417"/>
      <c r="M80" s="417"/>
      <c r="N80" s="417"/>
      <c r="O80" s="417"/>
      <c r="P80" s="417"/>
      <c r="Q80" s="417"/>
      <c r="R80" s="417"/>
      <c r="S80" s="417"/>
      <c r="T80" s="417"/>
      <c r="U80" s="417"/>
      <c r="V80" s="417"/>
      <c r="W80" s="417"/>
      <c r="X80" s="417"/>
      <c r="Y80" s="417"/>
      <c r="Z80" s="417"/>
      <c r="AA80" s="417"/>
      <c r="AB80" s="417"/>
      <c r="AC80" s="417"/>
      <c r="AD80" s="417"/>
      <c r="AE80" s="417"/>
      <c r="AF80" s="417"/>
      <c r="AG80" s="417"/>
      <c r="AH80" s="417"/>
      <c r="AI80" s="417"/>
      <c r="AJ80" s="417"/>
      <c r="AK80" s="417"/>
      <c r="AL80" s="417"/>
      <c r="AM80" s="417"/>
      <c r="AN80" s="417"/>
      <c r="AO80" s="417"/>
      <c r="AP80" s="417"/>
      <c r="AQ80" s="417"/>
      <c r="AR80" s="417"/>
    </row>
    <row r="81" spans="1:44" ht="15" x14ac:dyDescent="0.25">
      <c r="A81" s="2"/>
      <c r="B81" s="380" t="s">
        <v>282</v>
      </c>
      <c r="C81" s="181" t="s">
        <v>196</v>
      </c>
      <c r="D81" s="440">
        <f>SUM(F81:AR81)</f>
        <v>2677.7928500000003</v>
      </c>
      <c r="E81" s="417"/>
      <c r="F81" s="417">
        <f t="shared" ref="F81:P81" si="38">F63*$D$72*F79</f>
        <v>0</v>
      </c>
      <c r="G81" s="417">
        <f t="shared" si="38"/>
        <v>0</v>
      </c>
      <c r="H81" s="417">
        <f t="shared" si="38"/>
        <v>0</v>
      </c>
      <c r="I81" s="417">
        <f t="shared" si="38"/>
        <v>0</v>
      </c>
      <c r="J81" s="417">
        <f t="shared" si="38"/>
        <v>0</v>
      </c>
      <c r="K81" s="417">
        <f t="shared" si="38"/>
        <v>0</v>
      </c>
      <c r="L81" s="417">
        <f t="shared" si="38"/>
        <v>0</v>
      </c>
      <c r="M81" s="417">
        <f t="shared" si="38"/>
        <v>0</v>
      </c>
      <c r="N81" s="417">
        <f t="shared" si="38"/>
        <v>0</v>
      </c>
      <c r="O81" s="417">
        <f t="shared" si="38"/>
        <v>40.050399999999982</v>
      </c>
      <c r="P81" s="417">
        <f t="shared" si="38"/>
        <v>60.653249999999971</v>
      </c>
      <c r="Q81" s="417">
        <f t="shared" ref="Q81:AR81" si="39">Q63*$D$72*Q79</f>
        <v>81.641199999999955</v>
      </c>
      <c r="R81" s="417">
        <f t="shared" si="39"/>
        <v>82.411399999999958</v>
      </c>
      <c r="S81" s="417">
        <f t="shared" si="39"/>
        <v>83.18159999999996</v>
      </c>
      <c r="T81" s="417">
        <f t="shared" si="39"/>
        <v>83.951799999999963</v>
      </c>
      <c r="U81" s="417">
        <f t="shared" si="39"/>
        <v>84.721999999999966</v>
      </c>
      <c r="V81" s="417">
        <f t="shared" si="39"/>
        <v>85.492199999999983</v>
      </c>
      <c r="W81" s="417">
        <f t="shared" si="39"/>
        <v>86.262399999999985</v>
      </c>
      <c r="X81" s="417">
        <f t="shared" si="39"/>
        <v>87.032599999999988</v>
      </c>
      <c r="Y81" s="417">
        <f t="shared" si="39"/>
        <v>87.802799999999991</v>
      </c>
      <c r="Z81" s="417">
        <f t="shared" si="39"/>
        <v>88.572999999999993</v>
      </c>
      <c r="AA81" s="417">
        <f t="shared" si="39"/>
        <v>89.343199999999996</v>
      </c>
      <c r="AB81" s="417">
        <f t="shared" si="39"/>
        <v>90.113399999999999</v>
      </c>
      <c r="AC81" s="417">
        <f t="shared" si="39"/>
        <v>90.883600000000001</v>
      </c>
      <c r="AD81" s="417">
        <f t="shared" si="39"/>
        <v>91.653800000000018</v>
      </c>
      <c r="AE81" s="417">
        <f t="shared" si="39"/>
        <v>92.424000000000021</v>
      </c>
      <c r="AF81" s="417">
        <f t="shared" si="39"/>
        <v>93.194200000000023</v>
      </c>
      <c r="AG81" s="417">
        <f t="shared" si="39"/>
        <v>93.964400000000026</v>
      </c>
      <c r="AH81" s="417">
        <f t="shared" si="39"/>
        <v>94.734600000000029</v>
      </c>
      <c r="AI81" s="417">
        <f t="shared" si="39"/>
        <v>95.504800000000031</v>
      </c>
      <c r="AJ81" s="417">
        <f t="shared" si="39"/>
        <v>96.275000000000034</v>
      </c>
      <c r="AK81" s="417">
        <f t="shared" si="39"/>
        <v>97.045200000000037</v>
      </c>
      <c r="AL81" s="417">
        <f t="shared" si="39"/>
        <v>97.815400000000054</v>
      </c>
      <c r="AM81" s="417">
        <f t="shared" si="39"/>
        <v>98.585600000000056</v>
      </c>
      <c r="AN81" s="417">
        <f t="shared" si="39"/>
        <v>99.355800000000059</v>
      </c>
      <c r="AO81" s="417">
        <f t="shared" si="39"/>
        <v>100.12600000000006</v>
      </c>
      <c r="AP81" s="417">
        <f t="shared" si="39"/>
        <v>100.89620000000006</v>
      </c>
      <c r="AQ81" s="417">
        <f t="shared" si="39"/>
        <v>101.66640000000007</v>
      </c>
      <c r="AR81" s="417">
        <f t="shared" si="39"/>
        <v>102.43660000000007</v>
      </c>
    </row>
    <row r="82" spans="1:44" ht="15" x14ac:dyDescent="0.25">
      <c r="A82" s="2"/>
      <c r="B82" s="181" t="s">
        <v>283</v>
      </c>
      <c r="C82" s="181" t="s">
        <v>76</v>
      </c>
      <c r="D82" s="440"/>
      <c r="E82" s="417"/>
      <c r="F82" s="353">
        <f t="shared" ref="F82:AR82" si="40">(F69+F81)/F69-1</f>
        <v>0</v>
      </c>
      <c r="G82" s="353">
        <f t="shared" si="40"/>
        <v>0</v>
      </c>
      <c r="H82" s="353">
        <f t="shared" si="40"/>
        <v>0</v>
      </c>
      <c r="I82" s="353">
        <f t="shared" si="40"/>
        <v>0</v>
      </c>
      <c r="J82" s="353">
        <f t="shared" si="40"/>
        <v>0</v>
      </c>
      <c r="K82" s="353">
        <f t="shared" si="40"/>
        <v>0</v>
      </c>
      <c r="L82" s="353">
        <f t="shared" si="40"/>
        <v>0</v>
      </c>
      <c r="M82" s="353">
        <f t="shared" si="40"/>
        <v>0</v>
      </c>
      <c r="N82" s="353">
        <f t="shared" si="40"/>
        <v>0</v>
      </c>
      <c r="O82" s="353">
        <f t="shared" si="40"/>
        <v>0.57221870743138292</v>
      </c>
      <c r="P82" s="353">
        <f t="shared" si="40"/>
        <v>0.8619274504305805</v>
      </c>
      <c r="Q82" s="353">
        <f t="shared" si="40"/>
        <v>1.1539512353447798</v>
      </c>
      <c r="R82" s="353">
        <f t="shared" si="40"/>
        <v>1.1585820888886378</v>
      </c>
      <c r="S82" s="353">
        <f t="shared" si="40"/>
        <v>1.163129925090832</v>
      </c>
      <c r="T82" s="353">
        <f t="shared" si="40"/>
        <v>1.1675955020482167</v>
      </c>
      <c r="U82" s="353">
        <f t="shared" si="40"/>
        <v>1.1719795721094863</v>
      </c>
      <c r="V82" s="353">
        <f t="shared" si="40"/>
        <v>1.1762828819150517</v>
      </c>
      <c r="W82" s="353">
        <f t="shared" si="40"/>
        <v>1.1805061724366523</v>
      </c>
      <c r="X82" s="353">
        <f t="shared" si="40"/>
        <v>1.1846501790167063</v>
      </c>
      <c r="Y82" s="353">
        <f t="shared" si="40"/>
        <v>1.1887156314074065</v>
      </c>
      <c r="Z82" s="353">
        <f t="shared" si="40"/>
        <v>1.1927032538095514</v>
      </c>
      <c r="AA82" s="353">
        <f t="shared" si="40"/>
        <v>1.1966137649111266</v>
      </c>
      <c r="AB82" s="353">
        <f t="shared" si="40"/>
        <v>1.2004478779256291</v>
      </c>
      <c r="AC82" s="353">
        <f t="shared" si="40"/>
        <v>1.2042063006301382</v>
      </c>
      <c r="AD82" s="353">
        <f t="shared" si="40"/>
        <v>1.207889735403139</v>
      </c>
      <c r="AE82" s="353">
        <f t="shared" si="40"/>
        <v>1.2114988792620913</v>
      </c>
      <c r="AF82" s="353">
        <f t="shared" si="40"/>
        <v>1.2150344239007547</v>
      </c>
      <c r="AG82" s="353">
        <f t="shared" si="40"/>
        <v>1.2184970557262669</v>
      </c>
      <c r="AH82" s="353">
        <f t="shared" si="40"/>
        <v>1.2218874558959758</v>
      </c>
      <c r="AI82" s="353">
        <f t="shared" si="40"/>
        <v>1.2252063003540279</v>
      </c>
      <c r="AJ82" s="353">
        <f t="shared" si="40"/>
        <v>1.2284542598677191</v>
      </c>
      <c r="AK82" s="353">
        <f t="shared" si="40"/>
        <v>1.2316320000636005</v>
      </c>
      <c r="AL82" s="353">
        <f t="shared" si="40"/>
        <v>1.2347401814633492</v>
      </c>
      <c r="AM82" s="353">
        <f t="shared" si="40"/>
        <v>1.2377794595194005</v>
      </c>
      <c r="AN82" s="353">
        <f t="shared" si="40"/>
        <v>1.2407504846503432</v>
      </c>
      <c r="AO82" s="353">
        <f t="shared" si="40"/>
        <v>1.2436539022760873</v>
      </c>
      <c r="AP82" s="353">
        <f t="shared" si="40"/>
        <v>1.2464903528527889</v>
      </c>
      <c r="AQ82" s="353">
        <f t="shared" si="40"/>
        <v>1.2492604719075535</v>
      </c>
      <c r="AR82" s="353">
        <f t="shared" si="40"/>
        <v>1.2519648900729052</v>
      </c>
    </row>
    <row r="83" spans="1:44" ht="15" x14ac:dyDescent="0.25">
      <c r="A83" s="2"/>
      <c r="B83" s="181"/>
      <c r="C83" s="181"/>
      <c r="D83" s="440"/>
      <c r="E83" s="417"/>
      <c r="F83" s="353"/>
      <c r="G83" s="353"/>
      <c r="H83" s="353"/>
      <c r="I83" s="353"/>
      <c r="J83" s="353"/>
      <c r="K83" s="353"/>
      <c r="L83" s="353"/>
      <c r="M83" s="353"/>
      <c r="N83" s="353"/>
      <c r="O83" s="353"/>
      <c r="P83" s="353"/>
      <c r="Q83" s="353"/>
      <c r="R83" s="353"/>
      <c r="S83" s="353"/>
      <c r="T83" s="353"/>
      <c r="U83" s="353"/>
      <c r="V83" s="353"/>
      <c r="W83" s="353"/>
      <c r="X83" s="353"/>
      <c r="Y83" s="353"/>
      <c r="Z83" s="353"/>
      <c r="AA83" s="353"/>
      <c r="AB83" s="353"/>
      <c r="AC83" s="353"/>
      <c r="AD83" s="353"/>
      <c r="AE83" s="353"/>
      <c r="AF83" s="353"/>
      <c r="AG83" s="353"/>
      <c r="AH83" s="353"/>
      <c r="AI83" s="353"/>
      <c r="AJ83" s="353"/>
      <c r="AK83" s="353"/>
      <c r="AL83" s="353"/>
      <c r="AM83" s="353"/>
      <c r="AN83" s="353"/>
      <c r="AO83" s="353"/>
      <c r="AP83" s="353"/>
      <c r="AQ83" s="353"/>
      <c r="AR83" s="353"/>
    </row>
    <row r="84" spans="1:44" ht="15" x14ac:dyDescent="0.25">
      <c r="A84" s="2"/>
      <c r="B84" s="2" t="s">
        <v>284</v>
      </c>
      <c r="C84" s="181"/>
      <c r="D84" s="440"/>
      <c r="E84" s="417"/>
      <c r="F84" s="417"/>
      <c r="G84" s="417"/>
      <c r="H84" s="417"/>
      <c r="I84" s="417"/>
      <c r="J84" s="417"/>
      <c r="K84" s="417"/>
      <c r="L84" s="417"/>
      <c r="M84" s="417"/>
      <c r="N84" s="417"/>
      <c r="O84" s="417"/>
      <c r="P84" s="417"/>
      <c r="Q84" s="417"/>
      <c r="R84" s="417"/>
      <c r="S84" s="417"/>
      <c r="T84" s="417"/>
      <c r="U84" s="417"/>
      <c r="V84" s="417"/>
      <c r="W84" s="417"/>
      <c r="X84" s="417"/>
      <c r="Y84" s="417"/>
      <c r="Z84" s="417"/>
      <c r="AA84" s="417"/>
      <c r="AB84" s="417"/>
      <c r="AC84" s="417"/>
      <c r="AD84" s="417"/>
      <c r="AE84" s="417"/>
      <c r="AF84" s="417"/>
      <c r="AG84" s="417"/>
      <c r="AH84" s="417"/>
      <c r="AI84" s="417"/>
      <c r="AJ84" s="417"/>
      <c r="AK84" s="417"/>
      <c r="AL84" s="417"/>
      <c r="AM84" s="417"/>
      <c r="AN84" s="417"/>
      <c r="AO84" s="417"/>
      <c r="AP84" s="417"/>
      <c r="AQ84" s="417"/>
      <c r="AR84" s="417"/>
    </row>
    <row r="85" spans="1:44" ht="15" x14ac:dyDescent="0.25">
      <c r="A85" s="2"/>
      <c r="B85" s="380" t="s">
        <v>284</v>
      </c>
      <c r="C85" s="181" t="s">
        <v>196</v>
      </c>
      <c r="D85" s="440">
        <f>SUM(F85:AR85)</f>
        <v>5563.7656351983587</v>
      </c>
      <c r="E85" s="380"/>
      <c r="F85" s="440">
        <f t="shared" ref="F85:AR85" si="41">F69+F81</f>
        <v>66.680335831680836</v>
      </c>
      <c r="G85" s="440">
        <f t="shared" si="41"/>
        <v>67.040359895154836</v>
      </c>
      <c r="H85" s="440">
        <f t="shared" si="41"/>
        <v>67.402327819958614</v>
      </c>
      <c r="I85" s="440">
        <f t="shared" si="41"/>
        <v>67.766250101493057</v>
      </c>
      <c r="J85" s="440">
        <f t="shared" si="41"/>
        <v>68.132137291826353</v>
      </c>
      <c r="K85" s="440">
        <f t="shared" si="41"/>
        <v>68.500000000000014</v>
      </c>
      <c r="L85" s="440">
        <f t="shared" si="41"/>
        <v>68.869848892336449</v>
      </c>
      <c r="M85" s="440">
        <f t="shared" si="41"/>
        <v>69.241694692748254</v>
      </c>
      <c r="N85" s="440">
        <f t="shared" si="41"/>
        <v>69.615548183049142</v>
      </c>
      <c r="O85" s="440">
        <f t="shared" si="41"/>
        <v>110.04182020326657</v>
      </c>
      <c r="P85" s="440">
        <f t="shared" si="41"/>
        <v>131.02257165195607</v>
      </c>
      <c r="Q85" s="440">
        <f t="shared" si="41"/>
        <v>152.39046348651726</v>
      </c>
      <c r="R85" s="440">
        <f t="shared" si="41"/>
        <v>153.54265672351153</v>
      </c>
      <c r="S85" s="440">
        <f t="shared" si="41"/>
        <v>154.69691243898143</v>
      </c>
      <c r="T85" s="440">
        <f t="shared" si="41"/>
        <v>155.85324176877197</v>
      </c>
      <c r="U85" s="440">
        <f t="shared" si="41"/>
        <v>157.01165590885333</v>
      </c>
      <c r="V85" s="440">
        <f t="shared" si="41"/>
        <v>158.17216611564561</v>
      </c>
      <c r="W85" s="440">
        <f t="shared" si="41"/>
        <v>159.33478370634521</v>
      </c>
      <c r="X85" s="440">
        <f t="shared" si="41"/>
        <v>160.49952005925286</v>
      </c>
      <c r="Y85" s="440">
        <f t="shared" si="41"/>
        <v>161.66638661410374</v>
      </c>
      <c r="Z85" s="440">
        <f t="shared" si="41"/>
        <v>162.83539487239898</v>
      </c>
      <c r="AA85" s="440">
        <f t="shared" si="41"/>
        <v>164.00655639773925</v>
      </c>
      <c r="AB85" s="440">
        <f t="shared" si="41"/>
        <v>165.17988281616005</v>
      </c>
      <c r="AC85" s="440">
        <f t="shared" si="41"/>
        <v>166.35538581646875</v>
      </c>
      <c r="AD85" s="440">
        <f t="shared" si="41"/>
        <v>167.53307715058372</v>
      </c>
      <c r="AE85" s="440">
        <f t="shared" si="41"/>
        <v>168.71296863387471</v>
      </c>
      <c r="AF85" s="440">
        <f t="shared" si="41"/>
        <v>169.89507214550576</v>
      </c>
      <c r="AG85" s="440">
        <f t="shared" si="41"/>
        <v>171.07939962877953</v>
      </c>
      <c r="AH85" s="440">
        <f t="shared" si="41"/>
        <v>172.26596309148363</v>
      </c>
      <c r="AI85" s="440">
        <f t="shared" si="41"/>
        <v>173.45477460623863</v>
      </c>
      <c r="AJ85" s="440">
        <f t="shared" si="41"/>
        <v>174.64584631084844</v>
      </c>
      <c r="AK85" s="440">
        <f t="shared" si="41"/>
        <v>175.83919040865189</v>
      </c>
      <c r="AL85" s="440">
        <f t="shared" si="41"/>
        <v>177.03481916887682</v>
      </c>
      <c r="AM85" s="440">
        <f t="shared" si="41"/>
        <v>178.23274492699574</v>
      </c>
      <c r="AN85" s="440">
        <f t="shared" si="41"/>
        <v>179.43298008508344</v>
      </c>
      <c r="AO85" s="440">
        <f t="shared" si="41"/>
        <v>180.63553711217679</v>
      </c>
      <c r="AP85" s="440">
        <f t="shared" si="41"/>
        <v>181.84042854463604</v>
      </c>
      <c r="AQ85" s="440">
        <f t="shared" si="41"/>
        <v>183.04766698650843</v>
      </c>
      <c r="AR85" s="440">
        <f t="shared" si="41"/>
        <v>184.25726510989381</v>
      </c>
    </row>
  </sheetData>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909F8-59BE-4ABA-84B1-B8635A43E3AC}">
  <sheetPr>
    <tabColor theme="9"/>
  </sheetPr>
  <dimension ref="A1:AS82"/>
  <sheetViews>
    <sheetView workbookViewId="0">
      <pane xSplit="4" ySplit="11" topLeftCell="AF29" activePane="bottomRight" state="frozen"/>
      <selection pane="topRight" activeCell="E1" sqref="E1"/>
      <selection pane="bottomLeft" activeCell="A12" sqref="A12"/>
      <selection pane="bottomRight" activeCell="A4" sqref="A4"/>
    </sheetView>
  </sheetViews>
  <sheetFormatPr defaultColWidth="0" defaultRowHeight="14.25" x14ac:dyDescent="0.2"/>
  <cols>
    <col min="1" max="1" width="10.85546875" style="1" customWidth="1"/>
    <col min="2" max="2" width="32.5703125" style="1" bestFit="1" customWidth="1"/>
    <col min="3" max="3" width="15.42578125" style="1" bestFit="1" customWidth="1"/>
    <col min="4" max="4" width="15.140625" style="1" bestFit="1" customWidth="1"/>
    <col min="5" max="5" width="1.5703125" style="1" customWidth="1"/>
    <col min="6" max="44" width="14.42578125" style="1" customWidth="1"/>
    <col min="45" max="45" width="9.140625" style="1" customWidth="1"/>
    <col min="46" max="16384" width="9.140625" style="1" hidden="1"/>
  </cols>
  <sheetData>
    <row r="1" spans="1:44" ht="19.5" x14ac:dyDescent="0.3">
      <c r="A1" s="3" t="str">
        <f>Summary!$A$1</f>
        <v>Multimodal Improvements to Safely Connect Tulsa at US-75 and 81st Street Interchange</v>
      </c>
      <c r="B1" s="380"/>
      <c r="C1" s="380"/>
      <c r="D1" s="380"/>
      <c r="E1" s="380"/>
      <c r="F1" s="380"/>
      <c r="G1" s="380"/>
      <c r="H1" s="380"/>
      <c r="I1" s="380"/>
      <c r="J1" s="380"/>
      <c r="K1" s="380"/>
      <c r="L1" s="380"/>
      <c r="M1" s="380"/>
      <c r="N1" s="380"/>
      <c r="O1" s="380"/>
      <c r="P1" s="380"/>
      <c r="Q1" s="380"/>
      <c r="R1" s="380"/>
      <c r="S1" s="380"/>
      <c r="T1" s="380"/>
      <c r="U1" s="380"/>
      <c r="V1" s="380"/>
      <c r="W1" s="380"/>
      <c r="X1" s="380"/>
      <c r="Y1" s="380"/>
      <c r="Z1" s="380"/>
      <c r="AA1" s="380"/>
      <c r="AB1" s="380"/>
      <c r="AC1" s="380"/>
      <c r="AD1" s="380"/>
      <c r="AE1" s="380"/>
      <c r="AF1" s="380"/>
      <c r="AG1" s="380"/>
      <c r="AH1" s="380"/>
      <c r="AI1" s="380"/>
      <c r="AJ1" s="380"/>
      <c r="AK1" s="380"/>
      <c r="AL1" s="380"/>
      <c r="AM1" s="380"/>
      <c r="AN1" s="380"/>
      <c r="AO1" s="380"/>
      <c r="AP1" s="380"/>
      <c r="AQ1" s="380"/>
      <c r="AR1" s="380"/>
    </row>
    <row r="2" spans="1:44" ht="19.5" x14ac:dyDescent="0.3">
      <c r="A2" s="3" t="s">
        <v>12</v>
      </c>
      <c r="B2" s="380"/>
      <c r="C2" s="7"/>
      <c r="D2" s="380"/>
      <c r="E2" s="380"/>
      <c r="F2" s="380"/>
      <c r="G2" s="380"/>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row>
    <row r="3" spans="1:44" x14ac:dyDescent="0.2">
      <c r="A3" s="381">
        <f ca="1">Summary!A3</f>
        <v>45687</v>
      </c>
      <c r="B3" s="380"/>
      <c r="C3" s="358" t="s">
        <v>259</v>
      </c>
      <c r="D3" s="359">
        <f>Summary!$E$9</f>
        <v>1.8138898580989069</v>
      </c>
      <c r="E3" s="380"/>
      <c r="F3" s="380"/>
      <c r="G3" s="380"/>
      <c r="H3" s="380"/>
      <c r="I3" s="380"/>
      <c r="J3" s="380"/>
      <c r="K3" s="380"/>
      <c r="L3" s="380"/>
      <c r="M3" s="380"/>
      <c r="N3" s="380"/>
      <c r="O3" s="380"/>
      <c r="P3" s="380"/>
      <c r="Q3" s="380"/>
      <c r="R3" s="380"/>
      <c r="S3" s="380"/>
      <c r="T3" s="380"/>
      <c r="U3" s="380"/>
      <c r="V3" s="380"/>
      <c r="W3" s="380"/>
      <c r="X3" s="380"/>
      <c r="Y3" s="380"/>
      <c r="Z3" s="380"/>
      <c r="AA3" s="380"/>
      <c r="AB3" s="380"/>
      <c r="AC3" s="380"/>
      <c r="AD3" s="380"/>
      <c r="AE3" s="380"/>
      <c r="AF3" s="380"/>
      <c r="AG3" s="380"/>
      <c r="AH3" s="380"/>
      <c r="AI3" s="380"/>
      <c r="AJ3" s="380"/>
      <c r="AK3" s="380"/>
      <c r="AL3" s="380"/>
      <c r="AM3" s="380"/>
      <c r="AN3" s="380"/>
      <c r="AO3" s="380"/>
      <c r="AP3" s="380"/>
      <c r="AQ3" s="380"/>
      <c r="AR3" s="380"/>
    </row>
    <row r="4" spans="1:44" x14ac:dyDescent="0.2">
      <c r="A4" s="33" t="str">
        <f>Summary!A4</f>
        <v>All $ values 2023, unless otherwise noted</v>
      </c>
      <c r="B4" s="380"/>
      <c r="C4" s="7"/>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c r="AM4" s="380"/>
      <c r="AN4" s="380"/>
      <c r="AO4" s="380"/>
      <c r="AP4" s="380"/>
      <c r="AQ4" s="380"/>
      <c r="AR4" s="380"/>
    </row>
    <row r="5" spans="1:44" x14ac:dyDescent="0.2">
      <c r="A5" s="380"/>
      <c r="B5" s="382"/>
      <c r="C5" s="7"/>
      <c r="D5" s="380"/>
      <c r="E5" s="380"/>
      <c r="F5" s="380"/>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0"/>
      <c r="AO5" s="380"/>
      <c r="AP5" s="380"/>
      <c r="AQ5" s="380"/>
      <c r="AR5" s="380"/>
    </row>
    <row r="6" spans="1:44" x14ac:dyDescent="0.2">
      <c r="A6" s="380"/>
      <c r="B6" s="380"/>
      <c r="C6" s="380" t="s">
        <v>48</v>
      </c>
      <c r="D6" s="380" t="s">
        <v>49</v>
      </c>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row>
    <row r="7" spans="1:44" s="4" customFormat="1" x14ac:dyDescent="0.2">
      <c r="A7" s="450" t="s">
        <v>235</v>
      </c>
      <c r="B7" s="450"/>
      <c r="C7" s="182" t="s">
        <v>235</v>
      </c>
      <c r="D7" s="450"/>
      <c r="E7" s="450"/>
      <c r="F7" s="450">
        <f>Inputs!$E$12</f>
        <v>2018</v>
      </c>
      <c r="G7" s="450">
        <f>F7+1</f>
        <v>2019</v>
      </c>
      <c r="H7" s="450">
        <f t="shared" ref="H7:W8" si="0">G7+1</f>
        <v>2020</v>
      </c>
      <c r="I7" s="450">
        <f t="shared" si="0"/>
        <v>2021</v>
      </c>
      <c r="J7" s="450">
        <f t="shared" si="0"/>
        <v>2022</v>
      </c>
      <c r="K7" s="450">
        <f t="shared" si="0"/>
        <v>2023</v>
      </c>
      <c r="L7" s="450">
        <f t="shared" si="0"/>
        <v>2024</v>
      </c>
      <c r="M7" s="450">
        <f t="shared" si="0"/>
        <v>2025</v>
      </c>
      <c r="N7" s="450">
        <f t="shared" si="0"/>
        <v>2026</v>
      </c>
      <c r="O7" s="450">
        <f t="shared" si="0"/>
        <v>2027</v>
      </c>
      <c r="P7" s="450">
        <f t="shared" si="0"/>
        <v>2028</v>
      </c>
      <c r="Q7" s="450">
        <f t="shared" si="0"/>
        <v>2029</v>
      </c>
      <c r="R7" s="450">
        <f t="shared" si="0"/>
        <v>2030</v>
      </c>
      <c r="S7" s="450">
        <f t="shared" si="0"/>
        <v>2031</v>
      </c>
      <c r="T7" s="450">
        <f t="shared" si="0"/>
        <v>2032</v>
      </c>
      <c r="U7" s="450">
        <f t="shared" si="0"/>
        <v>2033</v>
      </c>
      <c r="V7" s="450">
        <f t="shared" si="0"/>
        <v>2034</v>
      </c>
      <c r="W7" s="450">
        <f t="shared" si="0"/>
        <v>2035</v>
      </c>
      <c r="X7" s="450">
        <f t="shared" ref="X7:AM8" si="1">W7+1</f>
        <v>2036</v>
      </c>
      <c r="Y7" s="450">
        <f t="shared" si="1"/>
        <v>2037</v>
      </c>
      <c r="Z7" s="450">
        <f t="shared" si="1"/>
        <v>2038</v>
      </c>
      <c r="AA7" s="450">
        <f t="shared" si="1"/>
        <v>2039</v>
      </c>
      <c r="AB7" s="450">
        <f t="shared" si="1"/>
        <v>2040</v>
      </c>
      <c r="AC7" s="450">
        <f t="shared" si="1"/>
        <v>2041</v>
      </c>
      <c r="AD7" s="450">
        <f t="shared" si="1"/>
        <v>2042</v>
      </c>
      <c r="AE7" s="450">
        <f t="shared" si="1"/>
        <v>2043</v>
      </c>
      <c r="AF7" s="450">
        <f t="shared" si="1"/>
        <v>2044</v>
      </c>
      <c r="AG7" s="450">
        <f t="shared" si="1"/>
        <v>2045</v>
      </c>
      <c r="AH7" s="450">
        <f t="shared" si="1"/>
        <v>2046</v>
      </c>
      <c r="AI7" s="450">
        <f t="shared" si="1"/>
        <v>2047</v>
      </c>
      <c r="AJ7" s="450">
        <f t="shared" si="1"/>
        <v>2048</v>
      </c>
      <c r="AK7" s="450">
        <f t="shared" si="1"/>
        <v>2049</v>
      </c>
      <c r="AL7" s="450">
        <f t="shared" si="1"/>
        <v>2050</v>
      </c>
      <c r="AM7" s="450">
        <f t="shared" si="1"/>
        <v>2051</v>
      </c>
      <c r="AN7" s="450">
        <f t="shared" ref="AN7:AR8" si="2">AM7+1</f>
        <v>2052</v>
      </c>
      <c r="AO7" s="450">
        <f t="shared" si="2"/>
        <v>2053</v>
      </c>
      <c r="AP7" s="450">
        <f t="shared" si="2"/>
        <v>2054</v>
      </c>
      <c r="AQ7" s="450">
        <f t="shared" si="2"/>
        <v>2055</v>
      </c>
      <c r="AR7" s="450">
        <f t="shared" si="2"/>
        <v>2056</v>
      </c>
    </row>
    <row r="8" spans="1:44" x14ac:dyDescent="0.2">
      <c r="A8" s="380"/>
      <c r="B8" s="380" t="s">
        <v>236</v>
      </c>
      <c r="C8" s="11" t="s">
        <v>54</v>
      </c>
      <c r="D8" s="380"/>
      <c r="E8" s="380"/>
      <c r="F8" s="380">
        <f>D8+1</f>
        <v>1</v>
      </c>
      <c r="G8" s="380">
        <f t="shared" ref="G8" si="3">F8+1</f>
        <v>2</v>
      </c>
      <c r="H8" s="380">
        <f t="shared" si="0"/>
        <v>3</v>
      </c>
      <c r="I8" s="380">
        <f t="shared" si="0"/>
        <v>4</v>
      </c>
      <c r="J8" s="380">
        <f t="shared" si="0"/>
        <v>5</v>
      </c>
      <c r="K8" s="380">
        <f t="shared" si="0"/>
        <v>6</v>
      </c>
      <c r="L8" s="380">
        <f t="shared" si="0"/>
        <v>7</v>
      </c>
      <c r="M8" s="380">
        <f t="shared" si="0"/>
        <v>8</v>
      </c>
      <c r="N8" s="380">
        <f t="shared" si="0"/>
        <v>9</v>
      </c>
      <c r="O8" s="380">
        <f t="shared" si="0"/>
        <v>10</v>
      </c>
      <c r="P8" s="380">
        <f t="shared" si="0"/>
        <v>11</v>
      </c>
      <c r="Q8" s="380">
        <f t="shared" si="0"/>
        <v>12</v>
      </c>
      <c r="R8" s="380">
        <f t="shared" si="0"/>
        <v>13</v>
      </c>
      <c r="S8" s="380">
        <f t="shared" si="0"/>
        <v>14</v>
      </c>
      <c r="T8" s="380">
        <f t="shared" si="0"/>
        <v>15</v>
      </c>
      <c r="U8" s="380">
        <f t="shared" si="0"/>
        <v>16</v>
      </c>
      <c r="V8" s="380">
        <f t="shared" si="0"/>
        <v>17</v>
      </c>
      <c r="W8" s="380">
        <f t="shared" si="0"/>
        <v>18</v>
      </c>
      <c r="X8" s="380">
        <f t="shared" si="1"/>
        <v>19</v>
      </c>
      <c r="Y8" s="380">
        <f t="shared" si="1"/>
        <v>20</v>
      </c>
      <c r="Z8" s="380">
        <f t="shared" si="1"/>
        <v>21</v>
      </c>
      <c r="AA8" s="380">
        <f t="shared" si="1"/>
        <v>22</v>
      </c>
      <c r="AB8" s="380">
        <f t="shared" si="1"/>
        <v>23</v>
      </c>
      <c r="AC8" s="380">
        <f t="shared" si="1"/>
        <v>24</v>
      </c>
      <c r="AD8" s="380">
        <f t="shared" si="1"/>
        <v>25</v>
      </c>
      <c r="AE8" s="380">
        <f t="shared" si="1"/>
        <v>26</v>
      </c>
      <c r="AF8" s="380">
        <f t="shared" si="1"/>
        <v>27</v>
      </c>
      <c r="AG8" s="380">
        <f t="shared" si="1"/>
        <v>28</v>
      </c>
      <c r="AH8" s="380">
        <f t="shared" si="1"/>
        <v>29</v>
      </c>
      <c r="AI8" s="380">
        <f t="shared" si="1"/>
        <v>30</v>
      </c>
      <c r="AJ8" s="380">
        <f t="shared" si="1"/>
        <v>31</v>
      </c>
      <c r="AK8" s="380">
        <f t="shared" si="1"/>
        <v>32</v>
      </c>
      <c r="AL8" s="380">
        <f t="shared" si="1"/>
        <v>33</v>
      </c>
      <c r="AM8" s="380">
        <f t="shared" si="1"/>
        <v>34</v>
      </c>
      <c r="AN8" s="380">
        <f t="shared" si="2"/>
        <v>35</v>
      </c>
      <c r="AO8" s="380">
        <f t="shared" si="2"/>
        <v>36</v>
      </c>
      <c r="AP8" s="380">
        <f t="shared" si="2"/>
        <v>37</v>
      </c>
      <c r="AQ8" s="380">
        <f t="shared" si="2"/>
        <v>38</v>
      </c>
      <c r="AR8" s="380">
        <f t="shared" si="2"/>
        <v>39</v>
      </c>
    </row>
    <row r="9" spans="1:44" x14ac:dyDescent="0.2">
      <c r="A9" s="380"/>
      <c r="B9" s="380" t="s">
        <v>237</v>
      </c>
      <c r="C9" s="11" t="s">
        <v>238</v>
      </c>
      <c r="D9" s="380"/>
      <c r="E9" s="380"/>
      <c r="F9" s="380">
        <f>IF(F7=Inputs!$E$13,1,0)</f>
        <v>0</v>
      </c>
      <c r="G9" s="380">
        <f>IF(G7=Inputs!$E$13,1,0)</f>
        <v>0</v>
      </c>
      <c r="H9" s="380">
        <f>IF(H7=Inputs!$E$13,1,0)</f>
        <v>0</v>
      </c>
      <c r="I9" s="380">
        <f>IF(I7=Inputs!$E$13,1,0)</f>
        <v>0</v>
      </c>
      <c r="J9" s="380">
        <f>IF(J7=Inputs!$E$13,1,0)</f>
        <v>0</v>
      </c>
      <c r="K9" s="380">
        <f>IF(K7=Inputs!$E$13,1,0)</f>
        <v>1</v>
      </c>
      <c r="L9" s="380">
        <f>IF(L7=Inputs!$E$13,1,0)</f>
        <v>0</v>
      </c>
      <c r="M9" s="380">
        <f>IF(M7=Inputs!$E$13,1,0)</f>
        <v>0</v>
      </c>
      <c r="N9" s="380">
        <f>IF(N7=Inputs!$E$13,1,0)</f>
        <v>0</v>
      </c>
      <c r="O9" s="380">
        <f>IF(O7=Inputs!$E$13,1,0)</f>
        <v>0</v>
      </c>
      <c r="P9" s="380">
        <f>IF(P7=Inputs!$E$13,1,0)</f>
        <v>0</v>
      </c>
      <c r="Q9" s="380">
        <f>IF(Q7=Inputs!$E$13,1,0)</f>
        <v>0</v>
      </c>
      <c r="R9" s="380">
        <f>IF(R7=Inputs!$E$13,1,0)</f>
        <v>0</v>
      </c>
      <c r="S9" s="380">
        <f>IF(S7=Inputs!$E$13,1,0)</f>
        <v>0</v>
      </c>
      <c r="T9" s="380">
        <f>IF(T7=Inputs!$E$13,1,0)</f>
        <v>0</v>
      </c>
      <c r="U9" s="380">
        <f>IF(U7=Inputs!$E$13,1,0)</f>
        <v>0</v>
      </c>
      <c r="V9" s="380">
        <f>IF(V7=Inputs!$E$13,1,0)</f>
        <v>0</v>
      </c>
      <c r="W9" s="380">
        <f>IF(W7=Inputs!$E$13,1,0)</f>
        <v>0</v>
      </c>
      <c r="X9" s="380">
        <f>IF(X7=Inputs!$E$13,1,0)</f>
        <v>0</v>
      </c>
      <c r="Y9" s="380">
        <f>IF(Y7=Inputs!$E$13,1,0)</f>
        <v>0</v>
      </c>
      <c r="Z9" s="380">
        <f>IF(Z7=Inputs!$E$13,1,0)</f>
        <v>0</v>
      </c>
      <c r="AA9" s="380">
        <f>IF(AA7=Inputs!$E$13,1,0)</f>
        <v>0</v>
      </c>
      <c r="AB9" s="380">
        <f>IF(AB7=Inputs!$E$13,1,0)</f>
        <v>0</v>
      </c>
      <c r="AC9" s="380">
        <f>IF(AC7=Inputs!$E$13,1,0)</f>
        <v>0</v>
      </c>
      <c r="AD9" s="380">
        <f>IF(AD7=Inputs!$E$13,1,0)</f>
        <v>0</v>
      </c>
      <c r="AE9" s="380">
        <f>IF(AE7=Inputs!$E$13,1,0)</f>
        <v>0</v>
      </c>
      <c r="AF9" s="380">
        <f>IF(AF7=Inputs!$E$13,1,0)</f>
        <v>0</v>
      </c>
      <c r="AG9" s="380">
        <f>IF(AG7=Inputs!$E$13,1,0)</f>
        <v>0</v>
      </c>
      <c r="AH9" s="380">
        <f>IF(AH7=Inputs!$E$13,1,0)</f>
        <v>0</v>
      </c>
      <c r="AI9" s="380">
        <f>IF(AI7=Inputs!$E$13,1,0)</f>
        <v>0</v>
      </c>
      <c r="AJ9" s="380">
        <f>IF(AJ7=Inputs!$E$13,1,0)</f>
        <v>0</v>
      </c>
      <c r="AK9" s="380">
        <f>IF(AK7=Inputs!$E$13,1,0)</f>
        <v>0</v>
      </c>
      <c r="AL9" s="380">
        <f>IF(AL7=Inputs!$E$13,1,0)</f>
        <v>0</v>
      </c>
      <c r="AM9" s="380">
        <f>IF(AM7=Inputs!$E$13,1,0)</f>
        <v>0</v>
      </c>
      <c r="AN9" s="380">
        <f>IF(AN7=Inputs!$E$13,1,0)</f>
        <v>0</v>
      </c>
      <c r="AO9" s="380">
        <f>IF(AO7=Inputs!$E$13,1,0)</f>
        <v>0</v>
      </c>
      <c r="AP9" s="380">
        <f>IF(AP7=Inputs!$E$13,1,0)</f>
        <v>0</v>
      </c>
      <c r="AQ9" s="380">
        <f>IF(AQ7=Inputs!$E$13,1,0)</f>
        <v>0</v>
      </c>
      <c r="AR9" s="380">
        <f>IF(AR7=Inputs!$E$13,1,0)</f>
        <v>0</v>
      </c>
    </row>
    <row r="10" spans="1:44" x14ac:dyDescent="0.2">
      <c r="A10" s="380"/>
      <c r="B10" s="380" t="s">
        <v>239</v>
      </c>
      <c r="C10" s="11" t="s">
        <v>61</v>
      </c>
      <c r="D10" s="380"/>
      <c r="E10" s="380"/>
      <c r="F10" s="428">
        <f>F7-Inputs!$E$13</f>
        <v>-5</v>
      </c>
      <c r="G10" s="428">
        <f>G7-Inputs!$E$13</f>
        <v>-4</v>
      </c>
      <c r="H10" s="428">
        <f>H7-Inputs!$E$13</f>
        <v>-3</v>
      </c>
      <c r="I10" s="428">
        <f>I7-Inputs!$E$13</f>
        <v>-2</v>
      </c>
      <c r="J10" s="428">
        <f>J7-Inputs!$E$13</f>
        <v>-1</v>
      </c>
      <c r="K10" s="428">
        <f>K7-Inputs!$E$13</f>
        <v>0</v>
      </c>
      <c r="L10" s="428">
        <f>L7-Inputs!$E$13</f>
        <v>1</v>
      </c>
      <c r="M10" s="428">
        <f>M7-Inputs!$E$13</f>
        <v>2</v>
      </c>
      <c r="N10" s="428">
        <f>N7-Inputs!$E$13</f>
        <v>3</v>
      </c>
      <c r="O10" s="428">
        <f>O7-Inputs!$E$13</f>
        <v>4</v>
      </c>
      <c r="P10" s="428">
        <f>P7-Inputs!$E$13</f>
        <v>5</v>
      </c>
      <c r="Q10" s="428">
        <f>Q7-Inputs!$E$13</f>
        <v>6</v>
      </c>
      <c r="R10" s="428">
        <f>R7-Inputs!$E$13</f>
        <v>7</v>
      </c>
      <c r="S10" s="428">
        <f>S7-Inputs!$E$13</f>
        <v>8</v>
      </c>
      <c r="T10" s="428">
        <f>T7-Inputs!$E$13</f>
        <v>9</v>
      </c>
      <c r="U10" s="428">
        <f>U7-Inputs!$E$13</f>
        <v>10</v>
      </c>
      <c r="V10" s="428">
        <f>V7-Inputs!$E$13</f>
        <v>11</v>
      </c>
      <c r="W10" s="428">
        <f>W7-Inputs!$E$13</f>
        <v>12</v>
      </c>
      <c r="X10" s="428">
        <f>X7-Inputs!$E$13</f>
        <v>13</v>
      </c>
      <c r="Y10" s="428">
        <f>Y7-Inputs!$E$13</f>
        <v>14</v>
      </c>
      <c r="Z10" s="428">
        <f>Z7-Inputs!$E$13</f>
        <v>15</v>
      </c>
      <c r="AA10" s="428">
        <f>AA7-Inputs!$E$13</f>
        <v>16</v>
      </c>
      <c r="AB10" s="428">
        <f>AB7-Inputs!$E$13</f>
        <v>17</v>
      </c>
      <c r="AC10" s="428">
        <f>AC7-Inputs!$E$13</f>
        <v>18</v>
      </c>
      <c r="AD10" s="428">
        <f>AD7-Inputs!$E$13</f>
        <v>19</v>
      </c>
      <c r="AE10" s="428">
        <f>AE7-Inputs!$E$13</f>
        <v>20</v>
      </c>
      <c r="AF10" s="428">
        <f>AF7-Inputs!$E$13</f>
        <v>21</v>
      </c>
      <c r="AG10" s="428">
        <f>AG7-Inputs!$E$13</f>
        <v>22</v>
      </c>
      <c r="AH10" s="428">
        <f>AH7-Inputs!$E$13</f>
        <v>23</v>
      </c>
      <c r="AI10" s="428">
        <f>AI7-Inputs!$E$13</f>
        <v>24</v>
      </c>
      <c r="AJ10" s="428">
        <f>AJ7-Inputs!$E$13</f>
        <v>25</v>
      </c>
      <c r="AK10" s="428">
        <f>AK7-Inputs!$E$13</f>
        <v>26</v>
      </c>
      <c r="AL10" s="428">
        <f>AL7-Inputs!$E$13</f>
        <v>27</v>
      </c>
      <c r="AM10" s="428">
        <f>AM7-Inputs!$E$13</f>
        <v>28</v>
      </c>
      <c r="AN10" s="428">
        <f>AN7-Inputs!$E$13</f>
        <v>29</v>
      </c>
      <c r="AO10" s="428">
        <f>AO7-Inputs!$E$13</f>
        <v>30</v>
      </c>
      <c r="AP10" s="428">
        <f>AP7-Inputs!$E$13</f>
        <v>31</v>
      </c>
      <c r="AQ10" s="428">
        <f>AQ7-Inputs!$E$13</f>
        <v>32</v>
      </c>
      <c r="AR10" s="428">
        <f>AR7-Inputs!$E$13</f>
        <v>33</v>
      </c>
    </row>
    <row r="11" spans="1:44" x14ac:dyDescent="0.2">
      <c r="A11" s="380"/>
      <c r="B11" s="380" t="s">
        <v>240</v>
      </c>
      <c r="C11" s="11" t="s">
        <v>238</v>
      </c>
      <c r="D11" s="380"/>
      <c r="E11" s="380"/>
      <c r="F11" s="380">
        <f>IF(AND(F7&gt;=Inputs!$E$17,F7&lt;Inputs!$E$26),1,0)</f>
        <v>0</v>
      </c>
      <c r="G11" s="380">
        <f>IF(AND(G7&gt;=Inputs!$E$17,G7&lt;Inputs!$E$26),1,0)</f>
        <v>0</v>
      </c>
      <c r="H11" s="380">
        <f>IF(AND(H7&gt;=Inputs!$E$17,H7&lt;Inputs!$E$26),1,0)</f>
        <v>0</v>
      </c>
      <c r="I11" s="380">
        <f>IF(AND(I7&gt;=Inputs!$E$17,I7&lt;Inputs!$E$26),1,0)</f>
        <v>0</v>
      </c>
      <c r="J11" s="380">
        <f>IF(AND(J7&gt;=Inputs!$E$17,J7&lt;Inputs!$E$26),1,0)</f>
        <v>0</v>
      </c>
      <c r="K11" s="380">
        <f>IF(AND(K7&gt;=Inputs!$E$17,K7&lt;Inputs!$E$26),1,0)</f>
        <v>0</v>
      </c>
      <c r="L11" s="380">
        <f>IF(AND(L7&gt;=Inputs!$E$17,L7&lt;Inputs!$E$26),1,0)</f>
        <v>0</v>
      </c>
      <c r="M11" s="380">
        <f>IF(AND(M7&gt;=Inputs!$E$17,M7&lt;Inputs!$E$26),1,0)</f>
        <v>0</v>
      </c>
      <c r="N11" s="380">
        <f>IF(AND(N7&gt;=Inputs!$E$17,N7&lt;Inputs!$E$26),1,0)</f>
        <v>0</v>
      </c>
      <c r="O11" s="380">
        <f>IF(AND(O7&gt;=Inputs!$E$17,O7&lt;Inputs!$E$26),1,0)</f>
        <v>1</v>
      </c>
      <c r="P11" s="380">
        <f>IF(AND(P7&gt;=Inputs!$E$17,P7&lt;Inputs!$E$26),1,0)</f>
        <v>1</v>
      </c>
      <c r="Q11" s="380">
        <f>IF(AND(Q7&gt;=Inputs!$E$17,Q7&lt;Inputs!$E$26),1,0)</f>
        <v>1</v>
      </c>
      <c r="R11" s="380">
        <f>IF(AND(R7&gt;=Inputs!$E$17,R7&lt;Inputs!$E$26),1,0)</f>
        <v>1</v>
      </c>
      <c r="S11" s="380">
        <f>IF(AND(S7&gt;=Inputs!$E$17,S7&lt;Inputs!$E$26),1,0)</f>
        <v>1</v>
      </c>
      <c r="T11" s="380">
        <f>IF(AND(T7&gt;=Inputs!$E$17,T7&lt;Inputs!$E$26),1,0)</f>
        <v>1</v>
      </c>
      <c r="U11" s="380">
        <f>IF(AND(U7&gt;=Inputs!$E$17,U7&lt;Inputs!$E$26),1,0)</f>
        <v>1</v>
      </c>
      <c r="V11" s="380">
        <f>IF(AND(V7&gt;=Inputs!$E$17,V7&lt;Inputs!$E$26),1,0)</f>
        <v>1</v>
      </c>
      <c r="W11" s="380">
        <f>IF(AND(W7&gt;=Inputs!$E$17,W7&lt;Inputs!$E$26),1,0)</f>
        <v>1</v>
      </c>
      <c r="X11" s="380">
        <f>IF(AND(X7&gt;=Inputs!$E$17,X7&lt;Inputs!$E$26),1,0)</f>
        <v>1</v>
      </c>
      <c r="Y11" s="380">
        <f>IF(AND(Y7&gt;=Inputs!$E$17,Y7&lt;Inputs!$E$26),1,0)</f>
        <v>1</v>
      </c>
      <c r="Z11" s="380">
        <f>IF(AND(Z7&gt;=Inputs!$E$17,Z7&lt;Inputs!$E$26),1,0)</f>
        <v>1</v>
      </c>
      <c r="AA11" s="380">
        <f>IF(AND(AA7&gt;=Inputs!$E$17,AA7&lt;Inputs!$E$26),1,0)</f>
        <v>1</v>
      </c>
      <c r="AB11" s="380">
        <f>IF(AND(AB7&gt;=Inputs!$E$17,AB7&lt;Inputs!$E$26),1,0)</f>
        <v>1</v>
      </c>
      <c r="AC11" s="380">
        <f>IF(AND(AC7&gt;=Inputs!$E$17,AC7&lt;Inputs!$E$26),1,0)</f>
        <v>1</v>
      </c>
      <c r="AD11" s="380">
        <f>IF(AND(AD7&gt;=Inputs!$E$17,AD7&lt;Inputs!$E$26),1,0)</f>
        <v>1</v>
      </c>
      <c r="AE11" s="380">
        <f>IF(AND(AE7&gt;=Inputs!$E$17,AE7&lt;Inputs!$E$26),1,0)</f>
        <v>1</v>
      </c>
      <c r="AF11" s="380">
        <f>IF(AND(AF7&gt;=Inputs!$E$17,AF7&lt;Inputs!$E$26),1,0)</f>
        <v>1</v>
      </c>
      <c r="AG11" s="380">
        <f>IF(AND(AG7&gt;=Inputs!$E$17,AG7&lt;Inputs!$E$26),1,0)</f>
        <v>1</v>
      </c>
      <c r="AH11" s="380">
        <f>IF(AND(AH7&gt;=Inputs!$E$17,AH7&lt;Inputs!$E$26),1,0)</f>
        <v>1</v>
      </c>
      <c r="AI11" s="380">
        <f>IF(AND(AI7&gt;=Inputs!$E$17,AI7&lt;Inputs!$E$26),1,0)</f>
        <v>0</v>
      </c>
      <c r="AJ11" s="380">
        <f>IF(AND(AJ7&gt;=Inputs!$E$17,AJ7&lt;Inputs!$E$26),1,0)</f>
        <v>0</v>
      </c>
      <c r="AK11" s="380">
        <f>IF(AND(AK7&gt;=Inputs!$E$17,AK7&lt;Inputs!$E$26),1,0)</f>
        <v>0</v>
      </c>
      <c r="AL11" s="380">
        <f>IF(AND(AL7&gt;=Inputs!$E$17,AL7&lt;Inputs!$E$26),1,0)</f>
        <v>0</v>
      </c>
      <c r="AM11" s="380">
        <f>IF(AND(AM7&gt;=Inputs!$E$17,AM7&lt;Inputs!$E$26),1,0)</f>
        <v>0</v>
      </c>
      <c r="AN11" s="380">
        <f>IF(AND(AN7&gt;=Inputs!$E$17,AN7&lt;Inputs!$E$26),1,0)</f>
        <v>0</v>
      </c>
      <c r="AO11" s="380">
        <f>IF(AND(AO7&gt;=Inputs!$E$17,AO7&lt;Inputs!$E$26),1,0)</f>
        <v>0</v>
      </c>
      <c r="AP11" s="380">
        <f>IF(AND(AP7&gt;=Inputs!$E$17,AP7&lt;Inputs!$E$26),1,0)</f>
        <v>0</v>
      </c>
      <c r="AQ11" s="380">
        <f>IF(AND(AQ7&gt;=Inputs!$E$17,AQ7&lt;Inputs!$E$26),1,0)</f>
        <v>0</v>
      </c>
      <c r="AR11" s="380">
        <f>IF(AND(AR7&gt;=Inputs!$E$17,AR7&lt;Inputs!$E$26),1,0)</f>
        <v>0</v>
      </c>
    </row>
    <row r="12" spans="1:44" ht="15" x14ac:dyDescent="0.25">
      <c r="A12" s="2" t="s">
        <v>241</v>
      </c>
      <c r="B12" s="380"/>
      <c r="C12" s="11"/>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0"/>
      <c r="AI12" s="380"/>
      <c r="AJ12" s="380"/>
      <c r="AK12" s="380"/>
      <c r="AL12" s="380"/>
      <c r="AM12" s="380"/>
      <c r="AN12" s="380"/>
      <c r="AO12" s="380"/>
      <c r="AP12" s="380"/>
      <c r="AQ12" s="380"/>
      <c r="AR12" s="380"/>
    </row>
    <row r="13" spans="1:44" x14ac:dyDescent="0.2">
      <c r="A13" s="380"/>
      <c r="B13" s="380" t="s">
        <v>242</v>
      </c>
      <c r="C13" s="11" t="s">
        <v>54</v>
      </c>
      <c r="D13" s="380"/>
      <c r="E13" s="380"/>
      <c r="F13" s="380">
        <f>(F11+D13)*F11</f>
        <v>0</v>
      </c>
      <c r="G13" s="380">
        <f t="shared" ref="G13:AG13" si="4">(G11+F13)*G11</f>
        <v>0</v>
      </c>
      <c r="H13" s="380">
        <f t="shared" si="4"/>
        <v>0</v>
      </c>
      <c r="I13" s="380">
        <f t="shared" si="4"/>
        <v>0</v>
      </c>
      <c r="J13" s="380">
        <f t="shared" si="4"/>
        <v>0</v>
      </c>
      <c r="K13" s="380">
        <f t="shared" si="4"/>
        <v>0</v>
      </c>
      <c r="L13" s="380">
        <f t="shared" si="4"/>
        <v>0</v>
      </c>
      <c r="M13" s="380">
        <f t="shared" si="4"/>
        <v>0</v>
      </c>
      <c r="N13" s="380">
        <f t="shared" si="4"/>
        <v>0</v>
      </c>
      <c r="O13" s="380">
        <f t="shared" si="4"/>
        <v>1</v>
      </c>
      <c r="P13" s="380">
        <f t="shared" si="4"/>
        <v>2</v>
      </c>
      <c r="Q13" s="380">
        <f t="shared" si="4"/>
        <v>3</v>
      </c>
      <c r="R13" s="380">
        <f t="shared" si="4"/>
        <v>4</v>
      </c>
      <c r="S13" s="380">
        <f t="shared" si="4"/>
        <v>5</v>
      </c>
      <c r="T13" s="380">
        <f t="shared" si="4"/>
        <v>6</v>
      </c>
      <c r="U13" s="380">
        <f t="shared" si="4"/>
        <v>7</v>
      </c>
      <c r="V13" s="380">
        <f t="shared" si="4"/>
        <v>8</v>
      </c>
      <c r="W13" s="380">
        <f t="shared" si="4"/>
        <v>9</v>
      </c>
      <c r="X13" s="380">
        <f t="shared" si="4"/>
        <v>10</v>
      </c>
      <c r="Y13" s="380">
        <f t="shared" si="4"/>
        <v>11</v>
      </c>
      <c r="Z13" s="380">
        <f t="shared" si="4"/>
        <v>12</v>
      </c>
      <c r="AA13" s="380">
        <f t="shared" si="4"/>
        <v>13</v>
      </c>
      <c r="AB13" s="380">
        <f t="shared" si="4"/>
        <v>14</v>
      </c>
      <c r="AC13" s="380">
        <f t="shared" si="4"/>
        <v>15</v>
      </c>
      <c r="AD13" s="380">
        <f t="shared" si="4"/>
        <v>16</v>
      </c>
      <c r="AE13" s="380">
        <f t="shared" si="4"/>
        <v>17</v>
      </c>
      <c r="AF13" s="380">
        <f t="shared" si="4"/>
        <v>18</v>
      </c>
      <c r="AG13" s="380">
        <f t="shared" si="4"/>
        <v>19</v>
      </c>
      <c r="AH13" s="380">
        <f>(AH11+AG13)*AH11</f>
        <v>20</v>
      </c>
      <c r="AI13" s="380">
        <f t="shared" ref="AI13:AR13" si="5">(AI11+AH13)*AI11</f>
        <v>0</v>
      </c>
      <c r="AJ13" s="380">
        <f t="shared" si="5"/>
        <v>0</v>
      </c>
      <c r="AK13" s="380">
        <f t="shared" si="5"/>
        <v>0</v>
      </c>
      <c r="AL13" s="380">
        <f t="shared" si="5"/>
        <v>0</v>
      </c>
      <c r="AM13" s="380">
        <f t="shared" si="5"/>
        <v>0</v>
      </c>
      <c r="AN13" s="380">
        <f t="shared" si="5"/>
        <v>0</v>
      </c>
      <c r="AO13" s="380">
        <f t="shared" si="5"/>
        <v>0</v>
      </c>
      <c r="AP13" s="380">
        <f t="shared" si="5"/>
        <v>0</v>
      </c>
      <c r="AQ13" s="380">
        <f t="shared" si="5"/>
        <v>0</v>
      </c>
      <c r="AR13" s="380">
        <f t="shared" si="5"/>
        <v>0</v>
      </c>
    </row>
    <row r="14" spans="1:44" ht="15" x14ac:dyDescent="0.25">
      <c r="A14" s="2" t="s">
        <v>9</v>
      </c>
      <c r="B14" s="380"/>
      <c r="C14" s="11"/>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c r="AB14" s="380"/>
      <c r="AC14" s="380"/>
      <c r="AD14" s="380"/>
      <c r="AE14" s="380"/>
      <c r="AF14" s="380"/>
      <c r="AG14" s="380"/>
      <c r="AH14" s="380"/>
      <c r="AI14" s="380"/>
      <c r="AJ14" s="380"/>
      <c r="AK14" s="380"/>
      <c r="AL14" s="380"/>
      <c r="AM14" s="380"/>
      <c r="AN14" s="380"/>
      <c r="AO14" s="380"/>
      <c r="AP14" s="380"/>
      <c r="AQ14" s="380"/>
      <c r="AR14" s="380"/>
    </row>
    <row r="15" spans="1:44" x14ac:dyDescent="0.2">
      <c r="A15" s="380"/>
      <c r="B15" s="380" t="s">
        <v>75</v>
      </c>
      <c r="C15" s="11" t="s">
        <v>54</v>
      </c>
      <c r="D15" s="445">
        <f>Inputs!E29</f>
        <v>0</v>
      </c>
      <c r="E15" s="445"/>
      <c r="F15" s="446">
        <f t="shared" ref="F15:L15" si="6">1/(1+$D15)^(F$10)</f>
        <v>1</v>
      </c>
      <c r="G15" s="446">
        <f t="shared" si="6"/>
        <v>1</v>
      </c>
      <c r="H15" s="446">
        <f t="shared" si="6"/>
        <v>1</v>
      </c>
      <c r="I15" s="446">
        <f t="shared" si="6"/>
        <v>1</v>
      </c>
      <c r="J15" s="446">
        <f t="shared" si="6"/>
        <v>1</v>
      </c>
      <c r="K15" s="446">
        <f t="shared" si="6"/>
        <v>1</v>
      </c>
      <c r="L15" s="446">
        <f t="shared" si="6"/>
        <v>1</v>
      </c>
      <c r="M15" s="446">
        <f>1/(1+$D15)^(M$10)</f>
        <v>1</v>
      </c>
      <c r="N15" s="446">
        <f t="shared" ref="N15:AR15" si="7">1/(1+$D15)^(N$10)</f>
        <v>1</v>
      </c>
      <c r="O15" s="446">
        <f t="shared" si="7"/>
        <v>1</v>
      </c>
      <c r="P15" s="446">
        <f t="shared" si="7"/>
        <v>1</v>
      </c>
      <c r="Q15" s="446">
        <f t="shared" si="7"/>
        <v>1</v>
      </c>
      <c r="R15" s="446">
        <f t="shared" si="7"/>
        <v>1</v>
      </c>
      <c r="S15" s="446">
        <f t="shared" si="7"/>
        <v>1</v>
      </c>
      <c r="T15" s="446">
        <f t="shared" si="7"/>
        <v>1</v>
      </c>
      <c r="U15" s="446">
        <f t="shared" si="7"/>
        <v>1</v>
      </c>
      <c r="V15" s="446">
        <f t="shared" si="7"/>
        <v>1</v>
      </c>
      <c r="W15" s="446">
        <f t="shared" si="7"/>
        <v>1</v>
      </c>
      <c r="X15" s="446">
        <f t="shared" si="7"/>
        <v>1</v>
      </c>
      <c r="Y15" s="446">
        <f t="shared" si="7"/>
        <v>1</v>
      </c>
      <c r="Z15" s="446">
        <f t="shared" si="7"/>
        <v>1</v>
      </c>
      <c r="AA15" s="446">
        <f t="shared" si="7"/>
        <v>1</v>
      </c>
      <c r="AB15" s="446">
        <f t="shared" si="7"/>
        <v>1</v>
      </c>
      <c r="AC15" s="446">
        <f t="shared" si="7"/>
        <v>1</v>
      </c>
      <c r="AD15" s="446">
        <f t="shared" si="7"/>
        <v>1</v>
      </c>
      <c r="AE15" s="446">
        <f t="shared" si="7"/>
        <v>1</v>
      </c>
      <c r="AF15" s="446">
        <f t="shared" si="7"/>
        <v>1</v>
      </c>
      <c r="AG15" s="446">
        <f t="shared" si="7"/>
        <v>1</v>
      </c>
      <c r="AH15" s="446">
        <f t="shared" si="7"/>
        <v>1</v>
      </c>
      <c r="AI15" s="446">
        <f t="shared" si="7"/>
        <v>1</v>
      </c>
      <c r="AJ15" s="446">
        <f t="shared" si="7"/>
        <v>1</v>
      </c>
      <c r="AK15" s="446">
        <f t="shared" si="7"/>
        <v>1</v>
      </c>
      <c r="AL15" s="446">
        <f t="shared" si="7"/>
        <v>1</v>
      </c>
      <c r="AM15" s="446">
        <f t="shared" si="7"/>
        <v>1</v>
      </c>
      <c r="AN15" s="446">
        <f t="shared" si="7"/>
        <v>1</v>
      </c>
      <c r="AO15" s="446">
        <f t="shared" si="7"/>
        <v>1</v>
      </c>
      <c r="AP15" s="446">
        <f t="shared" si="7"/>
        <v>1</v>
      </c>
      <c r="AQ15" s="446">
        <f t="shared" si="7"/>
        <v>1</v>
      </c>
      <c r="AR15" s="446">
        <f t="shared" si="7"/>
        <v>1</v>
      </c>
    </row>
    <row r="16" spans="1:44" x14ac:dyDescent="0.2">
      <c r="A16" s="380"/>
      <c r="B16" s="380" t="str">
        <f>Inputs!$C$30</f>
        <v>2% Discount Factor</v>
      </c>
      <c r="C16" s="11" t="s">
        <v>54</v>
      </c>
      <c r="D16" s="445">
        <f>Inputs!E30</f>
        <v>0.02</v>
      </c>
      <c r="E16" s="445"/>
      <c r="F16" s="446">
        <f t="shared" ref="F16:L16" si="8">MIN(1,IF(F10=0,1,1/(1+$D16)^(F$10)))</f>
        <v>1</v>
      </c>
      <c r="G16" s="446">
        <f t="shared" si="8"/>
        <v>1</v>
      </c>
      <c r="H16" s="446">
        <f t="shared" si="8"/>
        <v>1</v>
      </c>
      <c r="I16" s="446">
        <f t="shared" si="8"/>
        <v>1</v>
      </c>
      <c r="J16" s="446">
        <f t="shared" si="8"/>
        <v>1</v>
      </c>
      <c r="K16" s="446">
        <f t="shared" si="8"/>
        <v>1</v>
      </c>
      <c r="L16" s="446">
        <f t="shared" si="8"/>
        <v>0.98039215686274506</v>
      </c>
      <c r="M16" s="446">
        <f>MIN(1,IF(M10=0,1,1/(1+$D16)^(M$10)))</f>
        <v>0.96116878123798544</v>
      </c>
      <c r="N16" s="446">
        <f t="shared" ref="N16:AR16" si="9">MIN(1,IF(N10=0,1,1/(1+$D16)^(N$10)))</f>
        <v>0.94232233454704462</v>
      </c>
      <c r="O16" s="446">
        <f t="shared" si="9"/>
        <v>0.9238454260265142</v>
      </c>
      <c r="P16" s="446">
        <f t="shared" si="9"/>
        <v>0.90573080982991594</v>
      </c>
      <c r="Q16" s="446">
        <f t="shared" si="9"/>
        <v>0.88797138218619198</v>
      </c>
      <c r="R16" s="446">
        <f t="shared" si="9"/>
        <v>0.87056017861391388</v>
      </c>
      <c r="S16" s="446">
        <f t="shared" si="9"/>
        <v>0.85349037119011162</v>
      </c>
      <c r="T16" s="446">
        <f t="shared" si="9"/>
        <v>0.83675526587265847</v>
      </c>
      <c r="U16" s="446">
        <f t="shared" si="9"/>
        <v>0.82034829987515534</v>
      </c>
      <c r="V16" s="446">
        <f t="shared" si="9"/>
        <v>0.80426303909328967</v>
      </c>
      <c r="W16" s="446">
        <f t="shared" si="9"/>
        <v>0.78849317558165644</v>
      </c>
      <c r="X16" s="446">
        <f t="shared" si="9"/>
        <v>0.77303252508005538</v>
      </c>
      <c r="Y16" s="446">
        <f t="shared" si="9"/>
        <v>0.75787502458828948</v>
      </c>
      <c r="Z16" s="446">
        <f t="shared" si="9"/>
        <v>0.74301472998851925</v>
      </c>
      <c r="AA16" s="446">
        <f t="shared" si="9"/>
        <v>0.72844581371423445</v>
      </c>
      <c r="AB16" s="446">
        <f t="shared" si="9"/>
        <v>0.7141625624649357</v>
      </c>
      <c r="AC16" s="446">
        <f t="shared" si="9"/>
        <v>0.7001593749656233</v>
      </c>
      <c r="AD16" s="446">
        <f t="shared" si="9"/>
        <v>0.68643075977021895</v>
      </c>
      <c r="AE16" s="446">
        <f t="shared" si="9"/>
        <v>0.67297133310805779</v>
      </c>
      <c r="AF16" s="446">
        <f t="shared" si="9"/>
        <v>0.65977581677260566</v>
      </c>
      <c r="AG16" s="446">
        <f t="shared" si="9"/>
        <v>0.64683903605157411</v>
      </c>
      <c r="AH16" s="446">
        <f t="shared" si="9"/>
        <v>0.63415591769762181</v>
      </c>
      <c r="AI16" s="446">
        <f t="shared" si="9"/>
        <v>0.62172148793884485</v>
      </c>
      <c r="AJ16" s="446">
        <f t="shared" si="9"/>
        <v>0.60953087052827937</v>
      </c>
      <c r="AK16" s="446">
        <f t="shared" si="9"/>
        <v>0.59757928483164635</v>
      </c>
      <c r="AL16" s="446">
        <f t="shared" si="9"/>
        <v>0.58586204395259456</v>
      </c>
      <c r="AM16" s="446">
        <f t="shared" si="9"/>
        <v>0.57437455289470041</v>
      </c>
      <c r="AN16" s="446">
        <f t="shared" si="9"/>
        <v>0.56311230675951029</v>
      </c>
      <c r="AO16" s="446">
        <f t="shared" si="9"/>
        <v>0.55207088897991197</v>
      </c>
      <c r="AP16" s="446">
        <f t="shared" si="9"/>
        <v>0.54124596958814919</v>
      </c>
      <c r="AQ16" s="446">
        <f t="shared" si="9"/>
        <v>0.53063330351779314</v>
      </c>
      <c r="AR16" s="446">
        <f t="shared" si="9"/>
        <v>0.52022872893901284</v>
      </c>
    </row>
    <row r="17" spans="1:44" x14ac:dyDescent="0.2">
      <c r="A17" s="380"/>
      <c r="B17" s="380" t="str">
        <f>Inputs!$C$31</f>
        <v>3.1% Discount Factor</v>
      </c>
      <c r="C17" s="11" t="s">
        <v>54</v>
      </c>
      <c r="D17" s="445">
        <f>Inputs!E31</f>
        <v>3.1E-2</v>
      </c>
      <c r="E17" s="445"/>
      <c r="F17" s="446">
        <f t="shared" ref="F17:L17" si="10">MIN(1,IF(F10=0,1,1/(1+$D17)^(F$10)))</f>
        <v>1</v>
      </c>
      <c r="G17" s="446">
        <f t="shared" si="10"/>
        <v>1</v>
      </c>
      <c r="H17" s="446">
        <f t="shared" si="10"/>
        <v>1</v>
      </c>
      <c r="I17" s="446">
        <f t="shared" si="10"/>
        <v>1</v>
      </c>
      <c r="J17" s="446">
        <f t="shared" si="10"/>
        <v>1</v>
      </c>
      <c r="K17" s="446">
        <f t="shared" si="10"/>
        <v>1</v>
      </c>
      <c r="L17" s="446">
        <f t="shared" si="10"/>
        <v>0.96993210475266745</v>
      </c>
      <c r="M17" s="446">
        <f>MIN(1,IF(M10=0,1,1/(1+$D17)^(M$10)))</f>
        <v>0.94076828782993938</v>
      </c>
      <c r="N17" s="446">
        <f t="shared" ref="N17:AR17" si="11">MIN(1,IF(N10=0,1,1/(1+$D17)^(N$10)))</f>
        <v>0.91248136549945624</v>
      </c>
      <c r="O17" s="446">
        <f t="shared" si="11"/>
        <v>0.88504497138647553</v>
      </c>
      <c r="P17" s="446">
        <f t="shared" si="11"/>
        <v>0.85843353189764848</v>
      </c>
      <c r="Q17" s="446">
        <f t="shared" si="11"/>
        <v>0.83262224238375215</v>
      </c>
      <c r="R17" s="446">
        <f t="shared" si="11"/>
        <v>0.80758704401915837</v>
      </c>
      <c r="S17" s="446">
        <f t="shared" si="11"/>
        <v>0.78330460137648728</v>
      </c>
      <c r="T17" s="446">
        <f t="shared" si="11"/>
        <v>0.75975228067554545</v>
      </c>
      <c r="U17" s="446">
        <f t="shared" si="11"/>
        <v>0.73690812868627109</v>
      </c>
      <c r="V17" s="446">
        <f t="shared" si="11"/>
        <v>0.71475085226602442</v>
      </c>
      <c r="W17" s="446">
        <f t="shared" si="11"/>
        <v>0.69325979851214781</v>
      </c>
      <c r="X17" s="446">
        <f t="shared" si="11"/>
        <v>0.67241493551129761</v>
      </c>
      <c r="Y17" s="446">
        <f t="shared" si="11"/>
        <v>0.65219683366760206</v>
      </c>
      <c r="Z17" s="446">
        <f t="shared" si="11"/>
        <v>0.63258664759224259</v>
      </c>
      <c r="AA17" s="446">
        <f t="shared" si="11"/>
        <v>0.6135660985375776</v>
      </c>
      <c r="AB17" s="446">
        <f t="shared" si="11"/>
        <v>0.59511745735943511</v>
      </c>
      <c r="AC17" s="446">
        <f t="shared" si="11"/>
        <v>0.57722352799169274</v>
      </c>
      <c r="AD17" s="446">
        <f t="shared" si="11"/>
        <v>0.55986763141774276</v>
      </c>
      <c r="AE17" s="446">
        <f t="shared" si="11"/>
        <v>0.54303359012390184</v>
      </c>
      <c r="AF17" s="446">
        <f t="shared" si="11"/>
        <v>0.52670571302027336</v>
      </c>
      <c r="AG17" s="446">
        <f t="shared" si="11"/>
        <v>0.51086878081500819</v>
      </c>
      <c r="AH17" s="446">
        <f t="shared" si="11"/>
        <v>0.49550803182832992</v>
      </c>
      <c r="AI17" s="446">
        <f t="shared" si="11"/>
        <v>0.4806091482331038</v>
      </c>
      <c r="AJ17" s="446">
        <f t="shared" si="11"/>
        <v>0.46615824270912104</v>
      </c>
      <c r="AK17" s="446">
        <f t="shared" si="11"/>
        <v>0.4521418454986626</v>
      </c>
      <c r="AL17" s="446">
        <f t="shared" si="11"/>
        <v>0.4385468918512731</v>
      </c>
      <c r="AM17" s="446">
        <f t="shared" si="11"/>
        <v>0.42536070984604568</v>
      </c>
      <c r="AN17" s="446">
        <f t="shared" si="11"/>
        <v>0.41257100858006374</v>
      </c>
      <c r="AO17" s="446">
        <f t="shared" si="11"/>
        <v>0.400165866711992</v>
      </c>
      <c r="AP17" s="446">
        <f t="shared" si="11"/>
        <v>0.38813372135013779</v>
      </c>
      <c r="AQ17" s="446">
        <f t="shared" si="11"/>
        <v>0.37646335727462438</v>
      </c>
      <c r="AR17" s="446">
        <f t="shared" si="11"/>
        <v>0.36514389648363188</v>
      </c>
    </row>
    <row r="19" spans="1:44" x14ac:dyDescent="0.2">
      <c r="A19" s="380"/>
      <c r="B19" s="380" t="s">
        <v>243</v>
      </c>
      <c r="C19" s="380" t="s">
        <v>48</v>
      </c>
      <c r="D19" s="380" t="s">
        <v>49</v>
      </c>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L19" s="380"/>
      <c r="AM19" s="380"/>
      <c r="AN19" s="380"/>
      <c r="AO19" s="380"/>
      <c r="AP19" s="380"/>
      <c r="AQ19" s="380"/>
      <c r="AR19" s="380"/>
    </row>
    <row r="20" spans="1:44" s="4" customFormat="1" x14ac:dyDescent="0.2">
      <c r="A20" s="449" t="s">
        <v>244</v>
      </c>
      <c r="B20" s="450"/>
      <c r="C20" s="450"/>
      <c r="D20" s="450"/>
      <c r="E20" s="450"/>
      <c r="F20" s="450"/>
      <c r="G20" s="450"/>
      <c r="H20" s="450"/>
      <c r="I20" s="450"/>
      <c r="J20" s="450"/>
      <c r="K20" s="450"/>
      <c r="L20" s="450"/>
      <c r="M20" s="450"/>
      <c r="N20" s="450"/>
      <c r="O20" s="450"/>
      <c r="P20" s="450"/>
      <c r="Q20" s="450"/>
      <c r="R20" s="450"/>
      <c r="S20" s="450"/>
      <c r="T20" s="450"/>
      <c r="U20" s="450"/>
      <c r="V20" s="450"/>
      <c r="W20" s="450"/>
      <c r="X20" s="450"/>
      <c r="Y20" s="450"/>
      <c r="Z20" s="450"/>
      <c r="AA20" s="450"/>
      <c r="AB20" s="450"/>
      <c r="AC20" s="450"/>
      <c r="AD20" s="450"/>
      <c r="AE20" s="450"/>
      <c r="AF20" s="450"/>
      <c r="AG20" s="450"/>
      <c r="AH20" s="450"/>
      <c r="AI20" s="450"/>
      <c r="AJ20" s="450"/>
      <c r="AK20" s="450"/>
      <c r="AL20" s="450"/>
      <c r="AM20" s="450"/>
      <c r="AN20" s="450"/>
      <c r="AO20" s="450"/>
      <c r="AP20" s="450"/>
      <c r="AQ20" s="450"/>
      <c r="AR20" s="450"/>
    </row>
    <row r="21" spans="1:44" ht="15" x14ac:dyDescent="0.25">
      <c r="A21" s="2" t="s">
        <v>285</v>
      </c>
      <c r="B21" s="380"/>
      <c r="C21" s="380"/>
      <c r="D21" s="380"/>
      <c r="E21" s="380"/>
      <c r="F21" s="380"/>
      <c r="G21" s="380"/>
      <c r="H21" s="380"/>
      <c r="I21" s="380"/>
      <c r="J21" s="380"/>
      <c r="K21" s="380"/>
      <c r="L21" s="380"/>
      <c r="M21" s="380"/>
      <c r="N21" s="380"/>
      <c r="O21" s="380"/>
      <c r="P21" s="380"/>
      <c r="Q21" s="380"/>
      <c r="R21" s="380"/>
      <c r="S21" s="380"/>
      <c r="T21" s="380"/>
      <c r="U21" s="380"/>
      <c r="V21" s="380"/>
      <c r="W21" s="380"/>
      <c r="X21" s="380"/>
      <c r="Y21" s="380"/>
      <c r="Z21" s="380"/>
      <c r="AA21" s="380"/>
      <c r="AB21" s="380"/>
      <c r="AC21" s="380"/>
      <c r="AD21" s="380"/>
      <c r="AE21" s="380"/>
      <c r="AF21" s="380"/>
      <c r="AG21" s="380"/>
      <c r="AH21" s="380"/>
      <c r="AI21" s="380"/>
      <c r="AJ21" s="380"/>
      <c r="AK21" s="380"/>
      <c r="AL21" s="380"/>
      <c r="AM21" s="380"/>
      <c r="AN21" s="380"/>
      <c r="AO21" s="380"/>
      <c r="AP21" s="380"/>
      <c r="AQ21" s="380"/>
      <c r="AR21" s="380"/>
    </row>
    <row r="22" spans="1:44" x14ac:dyDescent="0.2">
      <c r="A22" s="380"/>
      <c r="B22" s="380" t="str">
        <f>Traffic!B29</f>
        <v>Total Vehicular Traffic</v>
      </c>
      <c r="C22" s="181" t="s">
        <v>112</v>
      </c>
      <c r="D22" s="440">
        <f t="shared" ref="D22" si="12">SUM(F22:AR22)</f>
        <v>876751.20000000054</v>
      </c>
      <c r="E22" s="380"/>
      <c r="F22" s="417">
        <f>Traffic!F29</f>
        <v>18734</v>
      </c>
      <c r="G22" s="417">
        <f>Traffic!G29</f>
        <v>18931.2</v>
      </c>
      <c r="H22" s="417">
        <f>Traffic!H29</f>
        <v>19128.400000000001</v>
      </c>
      <c r="I22" s="417">
        <f>Traffic!I29</f>
        <v>19325.600000000002</v>
      </c>
      <c r="J22" s="417">
        <f>Traffic!J29</f>
        <v>19522.800000000003</v>
      </c>
      <c r="K22" s="417">
        <f>Traffic!K29</f>
        <v>19720.000000000004</v>
      </c>
      <c r="L22" s="417">
        <f>Traffic!L29</f>
        <v>19917.200000000004</v>
      </c>
      <c r="M22" s="417">
        <f>Traffic!M29</f>
        <v>20114.400000000005</v>
      </c>
      <c r="N22" s="417">
        <f>Traffic!N29</f>
        <v>20311.600000000006</v>
      </c>
      <c r="O22" s="417">
        <f>Traffic!O29</f>
        <v>20508.800000000007</v>
      </c>
      <c r="P22" s="417">
        <f>Traffic!P29</f>
        <v>20706.000000000007</v>
      </c>
      <c r="Q22" s="417">
        <f>Traffic!Q29</f>
        <v>20903.200000000008</v>
      </c>
      <c r="R22" s="417">
        <f>Traffic!R29</f>
        <v>21100.400000000009</v>
      </c>
      <c r="S22" s="417">
        <f>Traffic!S29</f>
        <v>21297.600000000009</v>
      </c>
      <c r="T22" s="417">
        <f>Traffic!T29</f>
        <v>21494.80000000001</v>
      </c>
      <c r="U22" s="417">
        <f>Traffic!U29</f>
        <v>21692.000000000011</v>
      </c>
      <c r="V22" s="417">
        <f>Traffic!V29</f>
        <v>21889.200000000012</v>
      </c>
      <c r="W22" s="417">
        <f>Traffic!W29</f>
        <v>22086.400000000012</v>
      </c>
      <c r="X22" s="417">
        <f>Traffic!X29</f>
        <v>22283.600000000013</v>
      </c>
      <c r="Y22" s="417">
        <f>Traffic!Y29</f>
        <v>22480.800000000014</v>
      </c>
      <c r="Z22" s="417">
        <f>Traffic!Z29</f>
        <v>22678.000000000015</v>
      </c>
      <c r="AA22" s="417">
        <f>Traffic!AA29</f>
        <v>22875.200000000015</v>
      </c>
      <c r="AB22" s="417">
        <f>Traffic!AB29</f>
        <v>23072.400000000016</v>
      </c>
      <c r="AC22" s="417">
        <f>Traffic!AC29</f>
        <v>23269.600000000017</v>
      </c>
      <c r="AD22" s="417">
        <f>Traffic!AD29</f>
        <v>23466.800000000017</v>
      </c>
      <c r="AE22" s="417">
        <f>Traffic!AE29</f>
        <v>23664.000000000018</v>
      </c>
      <c r="AF22" s="417">
        <f>Traffic!AF29</f>
        <v>23861.200000000019</v>
      </c>
      <c r="AG22" s="417">
        <f>Traffic!AG29</f>
        <v>24058.40000000002</v>
      </c>
      <c r="AH22" s="417">
        <f>Traffic!AH29</f>
        <v>24255.60000000002</v>
      </c>
      <c r="AI22" s="417">
        <f>Traffic!AI29</f>
        <v>24452.800000000021</v>
      </c>
      <c r="AJ22" s="417">
        <f>Traffic!AJ29</f>
        <v>24650.000000000022</v>
      </c>
      <c r="AK22" s="417">
        <f>Traffic!AK29</f>
        <v>24847.200000000023</v>
      </c>
      <c r="AL22" s="417">
        <f>Traffic!AL29</f>
        <v>25044.400000000023</v>
      </c>
      <c r="AM22" s="417">
        <f>Traffic!AM29</f>
        <v>25241.600000000024</v>
      </c>
      <c r="AN22" s="417">
        <f>Traffic!AN29</f>
        <v>25438.800000000025</v>
      </c>
      <c r="AO22" s="417">
        <f>Traffic!AO29</f>
        <v>25636.000000000025</v>
      </c>
      <c r="AP22" s="417">
        <f>Traffic!AP29</f>
        <v>25833.200000000026</v>
      </c>
      <c r="AQ22" s="417">
        <f>Traffic!AQ29</f>
        <v>26030.400000000027</v>
      </c>
      <c r="AR22" s="417">
        <f>Traffic!AR29</f>
        <v>26227.600000000028</v>
      </c>
    </row>
    <row r="23" spans="1:44" x14ac:dyDescent="0.2">
      <c r="A23" s="380"/>
      <c r="B23" s="380"/>
      <c r="C23" s="181"/>
      <c r="D23" s="440"/>
      <c r="E23" s="380"/>
      <c r="F23" s="417"/>
      <c r="G23" s="417"/>
      <c r="H23" s="417"/>
      <c r="I23" s="417"/>
      <c r="J23" s="417"/>
      <c r="K23" s="417"/>
      <c r="L23" s="417"/>
      <c r="M23" s="417"/>
      <c r="N23" s="417"/>
      <c r="O23" s="417"/>
      <c r="P23" s="417"/>
      <c r="Q23" s="417"/>
      <c r="R23" s="417"/>
      <c r="S23" s="417"/>
      <c r="T23" s="417"/>
      <c r="U23" s="417"/>
      <c r="V23" s="417"/>
      <c r="W23" s="417"/>
      <c r="X23" s="417"/>
      <c r="Y23" s="417"/>
      <c r="Z23" s="417"/>
      <c r="AA23" s="417"/>
      <c r="AB23" s="417"/>
      <c r="AC23" s="417"/>
      <c r="AD23" s="417"/>
      <c r="AE23" s="417"/>
      <c r="AF23" s="417"/>
      <c r="AG23" s="417"/>
      <c r="AH23" s="417"/>
      <c r="AI23" s="417"/>
      <c r="AJ23" s="417"/>
      <c r="AK23" s="417"/>
      <c r="AL23" s="417"/>
      <c r="AM23" s="417"/>
      <c r="AN23" s="417"/>
      <c r="AO23" s="417"/>
      <c r="AP23" s="417"/>
      <c r="AQ23" s="417"/>
      <c r="AR23" s="417"/>
    </row>
    <row r="24" spans="1:44" ht="15" x14ac:dyDescent="0.25">
      <c r="A24" s="2" t="s">
        <v>286</v>
      </c>
      <c r="B24" s="380"/>
      <c r="C24" s="181"/>
      <c r="D24" s="440"/>
      <c r="E24" s="380"/>
      <c r="F24" s="417"/>
      <c r="G24" s="417"/>
      <c r="H24" s="417"/>
      <c r="I24" s="417"/>
      <c r="J24" s="417"/>
      <c r="K24" s="417"/>
      <c r="L24" s="417"/>
      <c r="M24" s="417"/>
      <c r="N24" s="417"/>
      <c r="O24" s="417"/>
      <c r="P24" s="417"/>
      <c r="Q24" s="417"/>
      <c r="R24" s="417"/>
      <c r="S24" s="417"/>
      <c r="T24" s="417"/>
      <c r="U24" s="417"/>
      <c r="V24" s="417"/>
      <c r="W24" s="417"/>
      <c r="X24" s="417"/>
      <c r="Y24" s="417"/>
      <c r="Z24" s="417"/>
      <c r="AA24" s="417"/>
      <c r="AB24" s="417"/>
      <c r="AC24" s="417"/>
      <c r="AD24" s="417"/>
      <c r="AE24" s="417"/>
      <c r="AF24" s="417"/>
      <c r="AG24" s="417"/>
      <c r="AH24" s="417"/>
      <c r="AI24" s="417"/>
      <c r="AJ24" s="417"/>
      <c r="AK24" s="417"/>
      <c r="AL24" s="417"/>
      <c r="AM24" s="417"/>
      <c r="AN24" s="417"/>
      <c r="AO24" s="417"/>
      <c r="AP24" s="417"/>
      <c r="AQ24" s="417"/>
      <c r="AR24" s="417"/>
    </row>
    <row r="25" spans="1:44" x14ac:dyDescent="0.2">
      <c r="A25" s="380"/>
      <c r="B25" s="380" t="str">
        <f>'REF Accidents'!$B$9</f>
        <v>Non-incapacitating injuries or possible injury</v>
      </c>
      <c r="C25" s="181" t="s">
        <v>117</v>
      </c>
      <c r="D25" s="408">
        <f>Inputs!E62</f>
        <v>1.7777777777777777</v>
      </c>
      <c r="E25" s="380"/>
      <c r="F25" s="453">
        <f t="shared" ref="F25:O27" si="13">IF(F$7=$D$28,$D25/F$22,0)</f>
        <v>0</v>
      </c>
      <c r="G25" s="453">
        <f t="shared" si="13"/>
        <v>0</v>
      </c>
      <c r="H25" s="453">
        <f t="shared" si="13"/>
        <v>0</v>
      </c>
      <c r="I25" s="453">
        <f t="shared" si="13"/>
        <v>9.1990819316232228E-5</v>
      </c>
      <c r="J25" s="453">
        <f t="shared" si="13"/>
        <v>0</v>
      </c>
      <c r="K25" s="453">
        <f t="shared" si="13"/>
        <v>0</v>
      </c>
      <c r="L25" s="453">
        <f t="shared" si="13"/>
        <v>0</v>
      </c>
      <c r="M25" s="453">
        <f t="shared" si="13"/>
        <v>0</v>
      </c>
      <c r="N25" s="453">
        <f t="shared" si="13"/>
        <v>0</v>
      </c>
      <c r="O25" s="453">
        <f t="shared" si="13"/>
        <v>0</v>
      </c>
      <c r="P25" s="453">
        <f t="shared" ref="P25:Y27" si="14">IF(P$7=$D$28,$D25/P$22,0)</f>
        <v>0</v>
      </c>
      <c r="Q25" s="453">
        <f t="shared" si="14"/>
        <v>0</v>
      </c>
      <c r="R25" s="453">
        <f t="shared" si="14"/>
        <v>0</v>
      </c>
      <c r="S25" s="453">
        <f t="shared" si="14"/>
        <v>0</v>
      </c>
      <c r="T25" s="453">
        <f t="shared" si="14"/>
        <v>0</v>
      </c>
      <c r="U25" s="453">
        <f t="shared" si="14"/>
        <v>0</v>
      </c>
      <c r="V25" s="453">
        <f t="shared" si="14"/>
        <v>0</v>
      </c>
      <c r="W25" s="453">
        <f t="shared" si="14"/>
        <v>0</v>
      </c>
      <c r="X25" s="453">
        <f t="shared" si="14"/>
        <v>0</v>
      </c>
      <c r="Y25" s="453">
        <f t="shared" si="14"/>
        <v>0</v>
      </c>
      <c r="Z25" s="453">
        <f t="shared" ref="Z25:AI27" si="15">IF(Z$7=$D$28,$D25/Z$22,0)</f>
        <v>0</v>
      </c>
      <c r="AA25" s="453">
        <f t="shared" si="15"/>
        <v>0</v>
      </c>
      <c r="AB25" s="453">
        <f t="shared" si="15"/>
        <v>0</v>
      </c>
      <c r="AC25" s="453">
        <f t="shared" si="15"/>
        <v>0</v>
      </c>
      <c r="AD25" s="453">
        <f t="shared" si="15"/>
        <v>0</v>
      </c>
      <c r="AE25" s="453">
        <f t="shared" si="15"/>
        <v>0</v>
      </c>
      <c r="AF25" s="453">
        <f t="shared" si="15"/>
        <v>0</v>
      </c>
      <c r="AG25" s="453">
        <f t="shared" si="15"/>
        <v>0</v>
      </c>
      <c r="AH25" s="453">
        <f t="shared" si="15"/>
        <v>0</v>
      </c>
      <c r="AI25" s="453">
        <f t="shared" si="15"/>
        <v>0</v>
      </c>
      <c r="AJ25" s="453">
        <f t="shared" ref="AJ25:AR27" si="16">IF(AJ$7=$D$28,$D25/AJ$22,0)</f>
        <v>0</v>
      </c>
      <c r="AK25" s="453">
        <f t="shared" si="16"/>
        <v>0</v>
      </c>
      <c r="AL25" s="453">
        <f t="shared" si="16"/>
        <v>0</v>
      </c>
      <c r="AM25" s="453">
        <f t="shared" si="16"/>
        <v>0</v>
      </c>
      <c r="AN25" s="453">
        <f t="shared" si="16"/>
        <v>0</v>
      </c>
      <c r="AO25" s="453">
        <f t="shared" si="16"/>
        <v>0</v>
      </c>
      <c r="AP25" s="453">
        <f t="shared" si="16"/>
        <v>0</v>
      </c>
      <c r="AQ25" s="453">
        <f t="shared" si="16"/>
        <v>0</v>
      </c>
      <c r="AR25" s="453">
        <f t="shared" si="16"/>
        <v>0</v>
      </c>
    </row>
    <row r="26" spans="1:44" x14ac:dyDescent="0.2">
      <c r="A26" s="380"/>
      <c r="B26" s="380" t="str">
        <f>'REF Accidents'!$B$10</f>
        <v>PDO</v>
      </c>
      <c r="C26" s="181" t="s">
        <v>117</v>
      </c>
      <c r="D26" s="408">
        <f>Inputs!E63</f>
        <v>2</v>
      </c>
      <c r="E26" s="380"/>
      <c r="F26" s="453">
        <f t="shared" si="13"/>
        <v>0</v>
      </c>
      <c r="G26" s="453">
        <f t="shared" si="13"/>
        <v>0</v>
      </c>
      <c r="H26" s="453">
        <f t="shared" si="13"/>
        <v>0</v>
      </c>
      <c r="I26" s="453">
        <f t="shared" si="13"/>
        <v>1.0348967173076126E-4</v>
      </c>
      <c r="J26" s="453">
        <f t="shared" si="13"/>
        <v>0</v>
      </c>
      <c r="K26" s="453">
        <f t="shared" si="13"/>
        <v>0</v>
      </c>
      <c r="L26" s="453">
        <f t="shared" si="13"/>
        <v>0</v>
      </c>
      <c r="M26" s="453">
        <f t="shared" si="13"/>
        <v>0</v>
      </c>
      <c r="N26" s="453">
        <f t="shared" si="13"/>
        <v>0</v>
      </c>
      <c r="O26" s="453">
        <f t="shared" si="13"/>
        <v>0</v>
      </c>
      <c r="P26" s="453">
        <f t="shared" si="14"/>
        <v>0</v>
      </c>
      <c r="Q26" s="453">
        <f t="shared" si="14"/>
        <v>0</v>
      </c>
      <c r="R26" s="453">
        <f t="shared" si="14"/>
        <v>0</v>
      </c>
      <c r="S26" s="453">
        <f t="shared" si="14"/>
        <v>0</v>
      </c>
      <c r="T26" s="453">
        <f t="shared" si="14"/>
        <v>0</v>
      </c>
      <c r="U26" s="453">
        <f t="shared" si="14"/>
        <v>0</v>
      </c>
      <c r="V26" s="453">
        <f t="shared" si="14"/>
        <v>0</v>
      </c>
      <c r="W26" s="453">
        <f t="shared" si="14"/>
        <v>0</v>
      </c>
      <c r="X26" s="453">
        <f t="shared" si="14"/>
        <v>0</v>
      </c>
      <c r="Y26" s="453">
        <f t="shared" si="14"/>
        <v>0</v>
      </c>
      <c r="Z26" s="453">
        <f t="shared" si="15"/>
        <v>0</v>
      </c>
      <c r="AA26" s="453">
        <f t="shared" si="15"/>
        <v>0</v>
      </c>
      <c r="AB26" s="453">
        <f t="shared" si="15"/>
        <v>0</v>
      </c>
      <c r="AC26" s="453">
        <f t="shared" si="15"/>
        <v>0</v>
      </c>
      <c r="AD26" s="453">
        <f t="shared" si="15"/>
        <v>0</v>
      </c>
      <c r="AE26" s="453">
        <f t="shared" si="15"/>
        <v>0</v>
      </c>
      <c r="AF26" s="453">
        <f t="shared" si="15"/>
        <v>0</v>
      </c>
      <c r="AG26" s="453">
        <f t="shared" si="15"/>
        <v>0</v>
      </c>
      <c r="AH26" s="453">
        <f t="shared" si="15"/>
        <v>0</v>
      </c>
      <c r="AI26" s="453">
        <f t="shared" si="15"/>
        <v>0</v>
      </c>
      <c r="AJ26" s="453">
        <f t="shared" si="16"/>
        <v>0</v>
      </c>
      <c r="AK26" s="453">
        <f t="shared" si="16"/>
        <v>0</v>
      </c>
      <c r="AL26" s="453">
        <f t="shared" si="16"/>
        <v>0</v>
      </c>
      <c r="AM26" s="453">
        <f t="shared" si="16"/>
        <v>0</v>
      </c>
      <c r="AN26" s="453">
        <f t="shared" si="16"/>
        <v>0</v>
      </c>
      <c r="AO26" s="453">
        <f t="shared" si="16"/>
        <v>0</v>
      </c>
      <c r="AP26" s="453">
        <f t="shared" si="16"/>
        <v>0</v>
      </c>
      <c r="AQ26" s="453">
        <f t="shared" si="16"/>
        <v>0</v>
      </c>
      <c r="AR26" s="453">
        <f t="shared" si="16"/>
        <v>0</v>
      </c>
    </row>
    <row r="27" spans="1:44" x14ac:dyDescent="0.2">
      <c r="A27" s="380"/>
      <c r="B27" s="380" t="str">
        <f>'REF Accidents'!$B$11</f>
        <v>Total Crashes</v>
      </c>
      <c r="C27" s="181" t="s">
        <v>117</v>
      </c>
      <c r="D27" s="408">
        <f>Inputs!E64</f>
        <v>3.7777777777777777</v>
      </c>
      <c r="E27" s="380"/>
      <c r="F27" s="453">
        <f t="shared" si="13"/>
        <v>0</v>
      </c>
      <c r="G27" s="453">
        <f t="shared" si="13"/>
        <v>0</v>
      </c>
      <c r="H27" s="453">
        <f t="shared" si="13"/>
        <v>0</v>
      </c>
      <c r="I27" s="453">
        <f t="shared" si="13"/>
        <v>1.9548049104699348E-4</v>
      </c>
      <c r="J27" s="453">
        <f t="shared" si="13"/>
        <v>0</v>
      </c>
      <c r="K27" s="453">
        <f t="shared" si="13"/>
        <v>0</v>
      </c>
      <c r="L27" s="453">
        <f t="shared" si="13"/>
        <v>0</v>
      </c>
      <c r="M27" s="453">
        <f t="shared" si="13"/>
        <v>0</v>
      </c>
      <c r="N27" s="453">
        <f t="shared" si="13"/>
        <v>0</v>
      </c>
      <c r="O27" s="453">
        <f t="shared" si="13"/>
        <v>0</v>
      </c>
      <c r="P27" s="453">
        <f t="shared" si="14"/>
        <v>0</v>
      </c>
      <c r="Q27" s="453">
        <f t="shared" si="14"/>
        <v>0</v>
      </c>
      <c r="R27" s="453">
        <f t="shared" si="14"/>
        <v>0</v>
      </c>
      <c r="S27" s="453">
        <f t="shared" si="14"/>
        <v>0</v>
      </c>
      <c r="T27" s="453">
        <f t="shared" si="14"/>
        <v>0</v>
      </c>
      <c r="U27" s="453">
        <f t="shared" si="14"/>
        <v>0</v>
      </c>
      <c r="V27" s="453">
        <f t="shared" si="14"/>
        <v>0</v>
      </c>
      <c r="W27" s="453">
        <f t="shared" si="14"/>
        <v>0</v>
      </c>
      <c r="X27" s="453">
        <f t="shared" si="14"/>
        <v>0</v>
      </c>
      <c r="Y27" s="453">
        <f t="shared" si="14"/>
        <v>0</v>
      </c>
      <c r="Z27" s="453">
        <f t="shared" si="15"/>
        <v>0</v>
      </c>
      <c r="AA27" s="453">
        <f t="shared" si="15"/>
        <v>0</v>
      </c>
      <c r="AB27" s="453">
        <f t="shared" si="15"/>
        <v>0</v>
      </c>
      <c r="AC27" s="453">
        <f t="shared" si="15"/>
        <v>0</v>
      </c>
      <c r="AD27" s="453">
        <f t="shared" si="15"/>
        <v>0</v>
      </c>
      <c r="AE27" s="453">
        <f t="shared" si="15"/>
        <v>0</v>
      </c>
      <c r="AF27" s="453">
        <f t="shared" si="15"/>
        <v>0</v>
      </c>
      <c r="AG27" s="453">
        <f t="shared" si="15"/>
        <v>0</v>
      </c>
      <c r="AH27" s="453">
        <f t="shared" si="15"/>
        <v>0</v>
      </c>
      <c r="AI27" s="453">
        <f t="shared" si="15"/>
        <v>0</v>
      </c>
      <c r="AJ27" s="453">
        <f t="shared" si="16"/>
        <v>0</v>
      </c>
      <c r="AK27" s="453">
        <f t="shared" si="16"/>
        <v>0</v>
      </c>
      <c r="AL27" s="453">
        <f t="shared" si="16"/>
        <v>0</v>
      </c>
      <c r="AM27" s="453">
        <f t="shared" si="16"/>
        <v>0</v>
      </c>
      <c r="AN27" s="453">
        <f t="shared" si="16"/>
        <v>0</v>
      </c>
      <c r="AO27" s="453">
        <f t="shared" si="16"/>
        <v>0</v>
      </c>
      <c r="AP27" s="453">
        <f t="shared" si="16"/>
        <v>0</v>
      </c>
      <c r="AQ27" s="453">
        <f t="shared" si="16"/>
        <v>0</v>
      </c>
      <c r="AR27" s="453">
        <f t="shared" si="16"/>
        <v>0</v>
      </c>
    </row>
    <row r="28" spans="1:44" x14ac:dyDescent="0.2">
      <c r="A28" s="380"/>
      <c r="B28" s="380" t="str">
        <f>'REF Accidents'!$B$11</f>
        <v>Total Crashes</v>
      </c>
      <c r="C28" s="181" t="s">
        <v>54</v>
      </c>
      <c r="D28" s="428">
        <f>Inputs!E65</f>
        <v>2021</v>
      </c>
      <c r="E28" s="380"/>
      <c r="F28" s="417"/>
      <c r="G28" s="417"/>
      <c r="H28" s="417"/>
      <c r="I28" s="417"/>
      <c r="J28" s="417"/>
      <c r="K28" s="417"/>
      <c r="L28" s="417"/>
      <c r="M28" s="417"/>
      <c r="N28" s="417"/>
      <c r="O28" s="417"/>
      <c r="P28" s="417"/>
      <c r="Q28" s="417"/>
      <c r="R28" s="417"/>
      <c r="S28" s="417"/>
      <c r="T28" s="417"/>
      <c r="U28" s="417"/>
      <c r="V28" s="417"/>
      <c r="W28" s="417"/>
      <c r="X28" s="417"/>
      <c r="Y28" s="417"/>
      <c r="Z28" s="417"/>
      <c r="AA28" s="417"/>
      <c r="AB28" s="417"/>
      <c r="AC28" s="417"/>
      <c r="AD28" s="417"/>
      <c r="AE28" s="417"/>
      <c r="AF28" s="417"/>
      <c r="AG28" s="417"/>
      <c r="AH28" s="417"/>
      <c r="AI28" s="417"/>
      <c r="AJ28" s="417"/>
      <c r="AK28" s="417"/>
      <c r="AL28" s="417"/>
      <c r="AM28" s="417"/>
      <c r="AN28" s="417"/>
      <c r="AO28" s="417"/>
      <c r="AP28" s="417"/>
      <c r="AQ28" s="417"/>
      <c r="AR28" s="417"/>
    </row>
    <row r="29" spans="1:44" x14ac:dyDescent="0.2">
      <c r="A29" s="380"/>
      <c r="B29" s="380"/>
      <c r="C29" s="181"/>
      <c r="D29" s="453"/>
      <c r="E29" s="380"/>
      <c r="F29" s="417"/>
      <c r="G29" s="417"/>
      <c r="H29" s="417"/>
      <c r="I29" s="417"/>
      <c r="J29" s="417"/>
      <c r="K29" s="417"/>
      <c r="L29" s="417"/>
      <c r="M29" s="417"/>
      <c r="N29" s="417"/>
      <c r="O29" s="417"/>
      <c r="P29" s="417"/>
      <c r="Q29" s="417"/>
      <c r="R29" s="417"/>
      <c r="S29" s="417"/>
      <c r="T29" s="417"/>
      <c r="U29" s="417"/>
      <c r="V29" s="417"/>
      <c r="W29" s="417"/>
      <c r="X29" s="417"/>
      <c r="Y29" s="417"/>
      <c r="Z29" s="417"/>
      <c r="AA29" s="417"/>
      <c r="AB29" s="417"/>
      <c r="AC29" s="417"/>
      <c r="AD29" s="417"/>
      <c r="AE29" s="417"/>
      <c r="AF29" s="417"/>
      <c r="AG29" s="417"/>
      <c r="AH29" s="417"/>
      <c r="AI29" s="417"/>
      <c r="AJ29" s="417"/>
      <c r="AK29" s="417"/>
      <c r="AL29" s="417"/>
      <c r="AM29" s="417"/>
      <c r="AN29" s="417"/>
      <c r="AO29" s="417"/>
      <c r="AP29" s="417"/>
      <c r="AQ29" s="417"/>
      <c r="AR29" s="417"/>
    </row>
    <row r="30" spans="1:44" ht="15" x14ac:dyDescent="0.25">
      <c r="A30" s="2" t="s">
        <v>287</v>
      </c>
      <c r="B30" s="380"/>
      <c r="C30" s="181"/>
      <c r="D30" s="440"/>
      <c r="E30" s="380"/>
      <c r="F30" s="417"/>
      <c r="G30" s="417"/>
      <c r="H30" s="417"/>
      <c r="I30" s="417"/>
      <c r="J30" s="417"/>
      <c r="K30" s="417"/>
      <c r="L30" s="417"/>
      <c r="M30" s="417"/>
      <c r="N30" s="417"/>
      <c r="O30" s="417"/>
      <c r="P30" s="417"/>
      <c r="Q30" s="417"/>
      <c r="R30" s="417"/>
      <c r="S30" s="417"/>
      <c r="T30" s="417"/>
      <c r="U30" s="417"/>
      <c r="V30" s="417"/>
      <c r="W30" s="417"/>
      <c r="X30" s="417"/>
      <c r="Y30" s="417"/>
      <c r="Z30" s="417"/>
      <c r="AA30" s="417"/>
      <c r="AB30" s="417"/>
      <c r="AC30" s="417"/>
      <c r="AD30" s="417"/>
      <c r="AE30" s="417"/>
      <c r="AF30" s="417"/>
      <c r="AG30" s="417"/>
      <c r="AH30" s="417"/>
      <c r="AI30" s="417"/>
      <c r="AJ30" s="417"/>
      <c r="AK30" s="417"/>
      <c r="AL30" s="417"/>
      <c r="AM30" s="417"/>
      <c r="AN30" s="417"/>
      <c r="AO30" s="417"/>
      <c r="AP30" s="417"/>
      <c r="AQ30" s="417"/>
      <c r="AR30" s="417"/>
    </row>
    <row r="31" spans="1:44" x14ac:dyDescent="0.2">
      <c r="A31" s="380"/>
      <c r="B31" s="380" t="s">
        <v>121</v>
      </c>
      <c r="C31" s="181" t="s">
        <v>117</v>
      </c>
      <c r="D31" s="456">
        <f>SUM(F25:AR25)</f>
        <v>9.1990819316232228E-5</v>
      </c>
      <c r="E31" s="380"/>
      <c r="F31" s="417"/>
      <c r="G31" s="417"/>
      <c r="H31" s="417"/>
      <c r="I31" s="417"/>
      <c r="J31" s="417"/>
      <c r="K31" s="417"/>
      <c r="L31" s="417"/>
      <c r="M31" s="417"/>
      <c r="N31" s="417"/>
      <c r="O31" s="417"/>
      <c r="P31" s="417"/>
      <c r="Q31" s="417"/>
      <c r="R31" s="417"/>
      <c r="S31" s="417"/>
      <c r="T31" s="417"/>
      <c r="U31" s="417"/>
      <c r="V31" s="417"/>
      <c r="W31" s="417"/>
      <c r="X31" s="417"/>
      <c r="Y31" s="417"/>
      <c r="Z31" s="417"/>
      <c r="AA31" s="417"/>
      <c r="AB31" s="417"/>
      <c r="AC31" s="417"/>
      <c r="AD31" s="417"/>
      <c r="AE31" s="417"/>
      <c r="AF31" s="417"/>
      <c r="AG31" s="417"/>
      <c r="AH31" s="417"/>
      <c r="AI31" s="417"/>
      <c r="AJ31" s="417"/>
      <c r="AK31" s="417"/>
      <c r="AL31" s="417"/>
      <c r="AM31" s="417"/>
      <c r="AN31" s="417"/>
      <c r="AO31" s="417"/>
      <c r="AP31" s="417"/>
      <c r="AQ31" s="417"/>
      <c r="AR31" s="417"/>
    </row>
    <row r="32" spans="1:44" x14ac:dyDescent="0.2">
      <c r="A32" s="380"/>
      <c r="B32" s="380" t="s">
        <v>124</v>
      </c>
      <c r="C32" s="181" t="s">
        <v>117</v>
      </c>
      <c r="D32" s="456">
        <f>SUM(F26:AR26)</f>
        <v>1.0348967173076126E-4</v>
      </c>
      <c r="E32" s="380"/>
      <c r="F32" s="417"/>
      <c r="G32" s="417"/>
      <c r="H32" s="417"/>
      <c r="I32" s="417"/>
      <c r="J32" s="417"/>
      <c r="K32" s="417"/>
      <c r="L32" s="417"/>
      <c r="M32" s="417"/>
      <c r="N32" s="417"/>
      <c r="O32" s="417"/>
      <c r="P32" s="417"/>
      <c r="Q32" s="417"/>
      <c r="R32" s="417"/>
      <c r="S32" s="417"/>
      <c r="T32" s="417"/>
      <c r="U32" s="417"/>
      <c r="V32" s="417"/>
      <c r="W32" s="417"/>
      <c r="X32" s="417"/>
      <c r="Y32" s="417"/>
      <c r="Z32" s="417"/>
      <c r="AA32" s="417"/>
      <c r="AB32" s="417"/>
      <c r="AC32" s="417"/>
      <c r="AD32" s="417"/>
      <c r="AE32" s="417"/>
      <c r="AF32" s="417"/>
      <c r="AG32" s="417"/>
      <c r="AH32" s="417"/>
      <c r="AI32" s="417"/>
      <c r="AJ32" s="417"/>
      <c r="AK32" s="417"/>
      <c r="AL32" s="417"/>
      <c r="AM32" s="417"/>
      <c r="AN32" s="417"/>
      <c r="AO32" s="417"/>
      <c r="AP32" s="417"/>
      <c r="AQ32" s="417"/>
      <c r="AR32" s="417"/>
    </row>
    <row r="33" spans="1:44" x14ac:dyDescent="0.2">
      <c r="A33" s="380"/>
      <c r="B33" s="380" t="s">
        <v>288</v>
      </c>
      <c r="C33" s="181" t="s">
        <v>289</v>
      </c>
      <c r="D33" s="456">
        <f>SUM(F27:AR27)</f>
        <v>1.9548049104699348E-4</v>
      </c>
      <c r="E33" s="380"/>
      <c r="F33" s="417"/>
      <c r="G33" s="417"/>
      <c r="H33" s="417"/>
      <c r="I33" s="417"/>
      <c r="J33" s="417"/>
      <c r="K33" s="417"/>
      <c r="L33" s="417"/>
      <c r="M33" s="417"/>
      <c r="N33" s="417"/>
      <c r="O33" s="417"/>
      <c r="P33" s="417"/>
      <c r="Q33" s="417"/>
      <c r="R33" s="417"/>
      <c r="S33" s="417"/>
      <c r="T33" s="417"/>
      <c r="U33" s="417"/>
      <c r="V33" s="417"/>
      <c r="W33" s="417"/>
      <c r="X33" s="417"/>
      <c r="Y33" s="417"/>
      <c r="Z33" s="417"/>
      <c r="AA33" s="417"/>
      <c r="AB33" s="417"/>
      <c r="AC33" s="417"/>
      <c r="AD33" s="417"/>
      <c r="AE33" s="417"/>
      <c r="AF33" s="417"/>
      <c r="AG33" s="417"/>
      <c r="AH33" s="417"/>
      <c r="AI33" s="417"/>
      <c r="AJ33" s="417"/>
      <c r="AK33" s="417"/>
      <c r="AL33" s="417"/>
      <c r="AM33" s="417"/>
      <c r="AN33" s="417"/>
      <c r="AO33" s="417"/>
      <c r="AP33" s="417"/>
      <c r="AQ33" s="417"/>
      <c r="AR33" s="417"/>
    </row>
    <row r="34" spans="1:44" x14ac:dyDescent="0.2">
      <c r="A34" s="380"/>
      <c r="B34" s="380"/>
      <c r="C34" s="181"/>
      <c r="D34" s="453"/>
      <c r="E34" s="380"/>
      <c r="F34" s="417"/>
      <c r="G34" s="417"/>
      <c r="H34" s="417"/>
      <c r="I34" s="417"/>
      <c r="J34" s="417"/>
      <c r="K34" s="417"/>
      <c r="L34" s="417"/>
      <c r="M34" s="417"/>
      <c r="N34" s="417"/>
      <c r="O34" s="417"/>
      <c r="P34" s="417"/>
      <c r="Q34" s="417"/>
      <c r="R34" s="417"/>
      <c r="S34" s="417"/>
      <c r="T34" s="417"/>
      <c r="U34" s="417"/>
      <c r="V34" s="417"/>
      <c r="W34" s="417"/>
      <c r="X34" s="417"/>
      <c r="Y34" s="417"/>
      <c r="Z34" s="417"/>
      <c r="AA34" s="417"/>
      <c r="AB34" s="417"/>
      <c r="AC34" s="417"/>
      <c r="AD34" s="417"/>
      <c r="AE34" s="417"/>
      <c r="AF34" s="417"/>
      <c r="AG34" s="417"/>
      <c r="AH34" s="417"/>
      <c r="AI34" s="417"/>
      <c r="AJ34" s="417"/>
      <c r="AK34" s="417"/>
      <c r="AL34" s="417"/>
      <c r="AM34" s="417"/>
      <c r="AN34" s="417"/>
      <c r="AO34" s="417"/>
      <c r="AP34" s="417"/>
      <c r="AQ34" s="417"/>
      <c r="AR34" s="417"/>
    </row>
    <row r="35" spans="1:44" ht="15" x14ac:dyDescent="0.25">
      <c r="A35" s="2" t="s">
        <v>290</v>
      </c>
      <c r="B35" s="380"/>
      <c r="C35" s="181"/>
      <c r="D35" s="453"/>
      <c r="E35" s="380"/>
      <c r="F35" s="417"/>
      <c r="G35" s="417"/>
      <c r="H35" s="417"/>
      <c r="I35" s="417"/>
      <c r="J35" s="417"/>
      <c r="K35" s="417"/>
      <c r="L35" s="417"/>
      <c r="M35" s="417"/>
      <c r="N35" s="417"/>
      <c r="O35" s="417"/>
      <c r="P35" s="417"/>
      <c r="Q35" s="417"/>
      <c r="R35" s="417"/>
      <c r="S35" s="417"/>
      <c r="T35" s="417"/>
      <c r="U35" s="417"/>
      <c r="V35" s="417"/>
      <c r="W35" s="417"/>
      <c r="X35" s="417"/>
      <c r="Y35" s="417"/>
      <c r="Z35" s="417"/>
      <c r="AA35" s="417"/>
      <c r="AB35" s="417"/>
      <c r="AC35" s="417"/>
      <c r="AD35" s="417"/>
      <c r="AE35" s="417"/>
      <c r="AF35" s="417"/>
      <c r="AG35" s="417"/>
      <c r="AH35" s="417"/>
      <c r="AI35" s="417"/>
      <c r="AJ35" s="417"/>
      <c r="AK35" s="417"/>
      <c r="AL35" s="417"/>
      <c r="AM35" s="417"/>
      <c r="AN35" s="417"/>
      <c r="AO35" s="417"/>
      <c r="AP35" s="417"/>
      <c r="AQ35" s="417"/>
      <c r="AR35" s="417"/>
    </row>
    <row r="36" spans="1:44" x14ac:dyDescent="0.2">
      <c r="A36" s="380"/>
      <c r="B36" s="380" t="s">
        <v>121</v>
      </c>
      <c r="C36" s="181" t="s">
        <v>122</v>
      </c>
      <c r="D36" s="426">
        <f>Inputs!$E$66</f>
        <v>246900</v>
      </c>
      <c r="E36" s="380"/>
      <c r="F36" s="417"/>
      <c r="G36" s="417"/>
      <c r="H36" s="417"/>
      <c r="I36" s="417"/>
      <c r="J36" s="417"/>
      <c r="K36" s="417"/>
      <c r="L36" s="417"/>
      <c r="M36" s="417"/>
      <c r="N36" s="417"/>
      <c r="O36" s="417"/>
      <c r="P36" s="417"/>
      <c r="Q36" s="417"/>
      <c r="R36" s="417"/>
      <c r="S36" s="417"/>
      <c r="T36" s="417"/>
      <c r="U36" s="417"/>
      <c r="V36" s="417"/>
      <c r="W36" s="417"/>
      <c r="X36" s="417"/>
      <c r="Y36" s="417"/>
      <c r="Z36" s="417"/>
      <c r="AA36" s="417"/>
      <c r="AB36" s="417"/>
      <c r="AC36" s="417"/>
      <c r="AD36" s="417"/>
      <c r="AE36" s="417"/>
      <c r="AF36" s="417"/>
      <c r="AG36" s="417"/>
      <c r="AH36" s="417"/>
      <c r="AI36" s="417"/>
      <c r="AJ36" s="417"/>
      <c r="AK36" s="417"/>
      <c r="AL36" s="417"/>
      <c r="AM36" s="417"/>
      <c r="AN36" s="417"/>
      <c r="AO36" s="417"/>
      <c r="AP36" s="417"/>
      <c r="AQ36" s="417"/>
      <c r="AR36" s="417"/>
    </row>
    <row r="37" spans="1:44" x14ac:dyDescent="0.2">
      <c r="A37" s="380"/>
      <c r="B37" s="380" t="s">
        <v>124</v>
      </c>
      <c r="C37" s="181" t="s">
        <v>122</v>
      </c>
      <c r="D37" s="426">
        <f>Inputs!$E$67</f>
        <v>9500</v>
      </c>
      <c r="E37" s="380"/>
      <c r="F37" s="417"/>
      <c r="G37" s="417"/>
      <c r="H37" s="417"/>
      <c r="I37" s="417"/>
      <c r="J37" s="417"/>
      <c r="K37" s="417"/>
      <c r="L37" s="417"/>
      <c r="M37" s="417"/>
      <c r="N37" s="417"/>
      <c r="O37" s="417"/>
      <c r="P37" s="417"/>
      <c r="Q37" s="417"/>
      <c r="R37" s="417"/>
      <c r="S37" s="417"/>
      <c r="T37" s="417"/>
      <c r="U37" s="417"/>
      <c r="V37" s="417"/>
      <c r="W37" s="417"/>
      <c r="X37" s="417"/>
      <c r="Y37" s="417"/>
      <c r="Z37" s="417"/>
      <c r="AA37" s="417"/>
      <c r="AB37" s="417"/>
      <c r="AC37" s="417"/>
      <c r="AD37" s="417"/>
      <c r="AE37" s="417"/>
      <c r="AF37" s="417"/>
      <c r="AG37" s="417"/>
      <c r="AH37" s="417"/>
      <c r="AI37" s="417"/>
      <c r="AJ37" s="417"/>
      <c r="AK37" s="417"/>
      <c r="AL37" s="417"/>
      <c r="AM37" s="417"/>
      <c r="AN37" s="417"/>
      <c r="AO37" s="417"/>
      <c r="AP37" s="417"/>
      <c r="AQ37" s="417"/>
      <c r="AR37" s="417"/>
    </row>
    <row r="38" spans="1:44" x14ac:dyDescent="0.2">
      <c r="A38" s="380"/>
      <c r="B38" s="380"/>
      <c r="C38" s="181"/>
      <c r="D38" s="453"/>
      <c r="E38" s="380"/>
      <c r="F38" s="417"/>
      <c r="G38" s="417"/>
      <c r="H38" s="417"/>
      <c r="I38" s="417"/>
      <c r="J38" s="417"/>
      <c r="K38" s="417"/>
      <c r="L38" s="417"/>
      <c r="M38" s="417"/>
      <c r="N38" s="417"/>
      <c r="O38" s="417"/>
      <c r="P38" s="417"/>
      <c r="Q38" s="417"/>
      <c r="R38" s="417"/>
      <c r="S38" s="417"/>
      <c r="T38" s="417"/>
      <c r="U38" s="417"/>
      <c r="V38" s="417"/>
      <c r="W38" s="417"/>
      <c r="X38" s="417"/>
      <c r="Y38" s="417"/>
      <c r="Z38" s="417"/>
      <c r="AA38" s="417"/>
      <c r="AB38" s="417"/>
      <c r="AC38" s="417"/>
      <c r="AD38" s="417"/>
      <c r="AE38" s="417"/>
      <c r="AF38" s="417"/>
      <c r="AG38" s="417"/>
      <c r="AH38" s="417"/>
      <c r="AI38" s="417"/>
      <c r="AJ38" s="417"/>
      <c r="AK38" s="417"/>
      <c r="AL38" s="417"/>
      <c r="AM38" s="417"/>
      <c r="AN38" s="417"/>
      <c r="AO38" s="417"/>
      <c r="AP38" s="417"/>
      <c r="AQ38" s="417"/>
      <c r="AR38" s="417"/>
    </row>
    <row r="39" spans="1:44" ht="15" x14ac:dyDescent="0.25">
      <c r="A39" s="2" t="s">
        <v>291</v>
      </c>
      <c r="B39" s="380"/>
      <c r="C39" s="181"/>
      <c r="D39" s="440"/>
      <c r="E39" s="380"/>
      <c r="F39" s="417"/>
      <c r="G39" s="417"/>
      <c r="H39" s="417"/>
      <c r="I39" s="417"/>
      <c r="J39" s="417"/>
      <c r="K39" s="417"/>
      <c r="L39" s="417"/>
      <c r="M39" s="417"/>
      <c r="N39" s="417"/>
      <c r="O39" s="417"/>
      <c r="P39" s="417"/>
      <c r="Q39" s="417"/>
      <c r="R39" s="417"/>
      <c r="S39" s="417"/>
      <c r="T39" s="417"/>
      <c r="U39" s="417"/>
      <c r="V39" s="417"/>
      <c r="W39" s="417"/>
      <c r="X39" s="417"/>
      <c r="Y39" s="417"/>
      <c r="Z39" s="417"/>
      <c r="AA39" s="417"/>
      <c r="AB39" s="417"/>
      <c r="AC39" s="417"/>
      <c r="AD39" s="417"/>
      <c r="AE39" s="417"/>
      <c r="AF39" s="417"/>
      <c r="AG39" s="417"/>
      <c r="AH39" s="417"/>
      <c r="AI39" s="417"/>
      <c r="AJ39" s="417"/>
      <c r="AK39" s="417"/>
      <c r="AL39" s="417"/>
      <c r="AM39" s="417"/>
      <c r="AN39" s="417"/>
      <c r="AO39" s="417"/>
      <c r="AP39" s="417"/>
      <c r="AQ39" s="417"/>
      <c r="AR39" s="417"/>
    </row>
    <row r="40" spans="1:44" ht="15" x14ac:dyDescent="0.25">
      <c r="A40" s="2"/>
      <c r="B40" s="380" t="s">
        <v>121</v>
      </c>
      <c r="C40" s="181" t="s">
        <v>292</v>
      </c>
      <c r="D40" s="440">
        <f>SUM(F40:AR40)</f>
        <v>80.653061224489846</v>
      </c>
      <c r="E40" s="380"/>
      <c r="F40" s="417">
        <f t="shared" ref="F40:AR40" si="17">$D$31*F22</f>
        <v>1.7233560090702946</v>
      </c>
      <c r="G40" s="417">
        <f t="shared" si="17"/>
        <v>1.7414965986394557</v>
      </c>
      <c r="H40" s="417">
        <f t="shared" si="17"/>
        <v>1.7596371882086166</v>
      </c>
      <c r="I40" s="417">
        <f t="shared" si="17"/>
        <v>1.7777777777777777</v>
      </c>
      <c r="J40" s="417">
        <f t="shared" si="17"/>
        <v>1.7959183673469388</v>
      </c>
      <c r="K40" s="417">
        <f t="shared" si="17"/>
        <v>1.8140589569160999</v>
      </c>
      <c r="L40" s="417">
        <f t="shared" si="17"/>
        <v>1.832199546485261</v>
      </c>
      <c r="M40" s="417">
        <f t="shared" si="17"/>
        <v>1.850340136054422</v>
      </c>
      <c r="N40" s="417">
        <f t="shared" si="17"/>
        <v>1.8684807256235831</v>
      </c>
      <c r="O40" s="417">
        <f t="shared" si="17"/>
        <v>1.8866213151927442</v>
      </c>
      <c r="P40" s="417">
        <f t="shared" si="17"/>
        <v>1.9047619047619051</v>
      </c>
      <c r="Q40" s="417">
        <f t="shared" si="17"/>
        <v>1.9229024943310662</v>
      </c>
      <c r="R40" s="417">
        <f t="shared" si="17"/>
        <v>1.9410430839002273</v>
      </c>
      <c r="S40" s="417">
        <f t="shared" si="17"/>
        <v>1.9591836734693884</v>
      </c>
      <c r="T40" s="417">
        <f t="shared" si="17"/>
        <v>1.9773242630385495</v>
      </c>
      <c r="U40" s="417">
        <f t="shared" si="17"/>
        <v>1.9954648526077106</v>
      </c>
      <c r="V40" s="417">
        <f t="shared" si="17"/>
        <v>2.0136054421768717</v>
      </c>
      <c r="W40" s="417">
        <f t="shared" si="17"/>
        <v>2.0317460317460325</v>
      </c>
      <c r="X40" s="417">
        <f t="shared" si="17"/>
        <v>2.0498866213151938</v>
      </c>
      <c r="Y40" s="417">
        <f t="shared" si="17"/>
        <v>2.0680272108843547</v>
      </c>
      <c r="Z40" s="417">
        <f t="shared" si="17"/>
        <v>2.086167800453516</v>
      </c>
      <c r="AA40" s="417">
        <f t="shared" si="17"/>
        <v>2.1043083900226769</v>
      </c>
      <c r="AB40" s="417">
        <f t="shared" si="17"/>
        <v>2.1224489795918378</v>
      </c>
      <c r="AC40" s="417">
        <f t="shared" si="17"/>
        <v>2.1405895691609991</v>
      </c>
      <c r="AD40" s="417">
        <f t="shared" si="17"/>
        <v>2.1587301587301599</v>
      </c>
      <c r="AE40" s="417">
        <f t="shared" si="17"/>
        <v>2.1768707482993213</v>
      </c>
      <c r="AF40" s="417">
        <f t="shared" si="17"/>
        <v>2.1950113378684821</v>
      </c>
      <c r="AG40" s="417">
        <f t="shared" si="17"/>
        <v>2.2131519274376434</v>
      </c>
      <c r="AH40" s="417">
        <f t="shared" si="17"/>
        <v>2.2312925170068043</v>
      </c>
      <c r="AI40" s="417">
        <f t="shared" si="17"/>
        <v>2.2494331065759652</v>
      </c>
      <c r="AJ40" s="417">
        <f t="shared" si="17"/>
        <v>2.2675736961451265</v>
      </c>
      <c r="AK40" s="417">
        <f t="shared" si="17"/>
        <v>2.2857142857142874</v>
      </c>
      <c r="AL40" s="417">
        <f t="shared" si="17"/>
        <v>2.3038548752834487</v>
      </c>
      <c r="AM40" s="417">
        <f t="shared" si="17"/>
        <v>2.3219954648526095</v>
      </c>
      <c r="AN40" s="417">
        <f t="shared" si="17"/>
        <v>2.3401360544217709</v>
      </c>
      <c r="AO40" s="417">
        <f t="shared" si="17"/>
        <v>2.3582766439909317</v>
      </c>
      <c r="AP40" s="417">
        <f t="shared" si="17"/>
        <v>2.3764172335600926</v>
      </c>
      <c r="AQ40" s="417">
        <f t="shared" si="17"/>
        <v>2.3945578231292539</v>
      </c>
      <c r="AR40" s="417">
        <f t="shared" si="17"/>
        <v>2.4126984126984148</v>
      </c>
    </row>
    <row r="41" spans="1:44" ht="15" x14ac:dyDescent="0.25">
      <c r="A41" s="2"/>
      <c r="B41" s="380" t="s">
        <v>124</v>
      </c>
      <c r="C41" s="181" t="s">
        <v>292</v>
      </c>
      <c r="D41" s="440">
        <f>SUM(F41:AR41)</f>
        <v>90.734693877551081</v>
      </c>
      <c r="E41" s="380"/>
      <c r="F41" s="417">
        <f t="shared" ref="F41:AR41" si="18">$D$32*F22</f>
        <v>1.9387755102040816</v>
      </c>
      <c r="G41" s="417">
        <f t="shared" si="18"/>
        <v>1.9591836734693877</v>
      </c>
      <c r="H41" s="417">
        <f t="shared" si="18"/>
        <v>1.9795918367346939</v>
      </c>
      <c r="I41" s="417">
        <f t="shared" si="18"/>
        <v>2</v>
      </c>
      <c r="J41" s="417">
        <f t="shared" si="18"/>
        <v>2.0204081632653064</v>
      </c>
      <c r="K41" s="417">
        <f t="shared" si="18"/>
        <v>2.0408163265306123</v>
      </c>
      <c r="L41" s="417">
        <f t="shared" si="18"/>
        <v>2.0612244897959187</v>
      </c>
      <c r="M41" s="417">
        <f t="shared" si="18"/>
        <v>2.081632653061225</v>
      </c>
      <c r="N41" s="417">
        <f t="shared" si="18"/>
        <v>2.1020408163265309</v>
      </c>
      <c r="O41" s="417">
        <f t="shared" si="18"/>
        <v>2.1224489795918373</v>
      </c>
      <c r="P41" s="417">
        <f t="shared" si="18"/>
        <v>2.1428571428571437</v>
      </c>
      <c r="Q41" s="417">
        <f t="shared" si="18"/>
        <v>2.1632653061224496</v>
      </c>
      <c r="R41" s="417">
        <f t="shared" si="18"/>
        <v>2.183673469387756</v>
      </c>
      <c r="S41" s="417">
        <f t="shared" si="18"/>
        <v>2.2040816326530619</v>
      </c>
      <c r="T41" s="417">
        <f t="shared" si="18"/>
        <v>2.2244897959183683</v>
      </c>
      <c r="U41" s="417">
        <f t="shared" si="18"/>
        <v>2.2448979591836746</v>
      </c>
      <c r="V41" s="417">
        <f t="shared" si="18"/>
        <v>2.2653061224489806</v>
      </c>
      <c r="W41" s="417">
        <f t="shared" si="18"/>
        <v>2.2857142857142869</v>
      </c>
      <c r="X41" s="417">
        <f t="shared" si="18"/>
        <v>2.3061224489795928</v>
      </c>
      <c r="Y41" s="417">
        <f t="shared" si="18"/>
        <v>2.3265306122448992</v>
      </c>
      <c r="Z41" s="417">
        <f t="shared" si="18"/>
        <v>2.3469387755102056</v>
      </c>
      <c r="AA41" s="417">
        <f t="shared" si="18"/>
        <v>2.3673469387755115</v>
      </c>
      <c r="AB41" s="417">
        <f t="shared" si="18"/>
        <v>2.3877551020408179</v>
      </c>
      <c r="AC41" s="417">
        <f t="shared" si="18"/>
        <v>2.4081632653061242</v>
      </c>
      <c r="AD41" s="417">
        <f t="shared" si="18"/>
        <v>2.4285714285714302</v>
      </c>
      <c r="AE41" s="417">
        <f t="shared" si="18"/>
        <v>2.4489795918367365</v>
      </c>
      <c r="AF41" s="417">
        <f t="shared" si="18"/>
        <v>2.4693877551020424</v>
      </c>
      <c r="AG41" s="417">
        <f t="shared" si="18"/>
        <v>2.4897959183673488</v>
      </c>
      <c r="AH41" s="417">
        <f t="shared" si="18"/>
        <v>2.5102040816326552</v>
      </c>
      <c r="AI41" s="417">
        <f t="shared" si="18"/>
        <v>2.5306122448979611</v>
      </c>
      <c r="AJ41" s="417">
        <f t="shared" si="18"/>
        <v>2.5510204081632675</v>
      </c>
      <c r="AK41" s="417">
        <f t="shared" si="18"/>
        <v>2.5714285714285734</v>
      </c>
      <c r="AL41" s="417">
        <f t="shared" si="18"/>
        <v>2.5918367346938798</v>
      </c>
      <c r="AM41" s="417">
        <f t="shared" si="18"/>
        <v>2.6122448979591861</v>
      </c>
      <c r="AN41" s="417">
        <f t="shared" si="18"/>
        <v>2.6326530612244921</v>
      </c>
      <c r="AO41" s="417">
        <f t="shared" si="18"/>
        <v>2.6530612244897984</v>
      </c>
      <c r="AP41" s="417">
        <f t="shared" si="18"/>
        <v>2.6734693877551048</v>
      </c>
      <c r="AQ41" s="417">
        <f t="shared" si="18"/>
        <v>2.6938775510204107</v>
      </c>
      <c r="AR41" s="417">
        <f t="shared" si="18"/>
        <v>2.7142857142857171</v>
      </c>
    </row>
    <row r="42" spans="1:44" ht="15" x14ac:dyDescent="0.25">
      <c r="A42" s="2"/>
      <c r="B42" s="380" t="s">
        <v>288</v>
      </c>
      <c r="C42" s="181" t="s">
        <v>292</v>
      </c>
      <c r="D42" s="440">
        <f>SUM(F42:AR42)</f>
        <v>171.3877551020409</v>
      </c>
      <c r="E42" s="380"/>
      <c r="F42" s="417">
        <f>SUM(F40:F41)</f>
        <v>3.662131519274376</v>
      </c>
      <c r="G42" s="417">
        <f t="shared" ref="G42:AR42" si="19">SUM(G40:G41)</f>
        <v>3.7006802721088432</v>
      </c>
      <c r="H42" s="417">
        <f t="shared" si="19"/>
        <v>3.7392290249433104</v>
      </c>
      <c r="I42" s="417">
        <f t="shared" si="19"/>
        <v>3.7777777777777777</v>
      </c>
      <c r="J42" s="417">
        <f t="shared" si="19"/>
        <v>3.8163265306122449</v>
      </c>
      <c r="K42" s="417">
        <f t="shared" si="19"/>
        <v>3.8548752834467122</v>
      </c>
      <c r="L42" s="417">
        <f t="shared" si="19"/>
        <v>3.8934240362811794</v>
      </c>
      <c r="M42" s="417">
        <f t="shared" si="19"/>
        <v>3.9319727891156471</v>
      </c>
      <c r="N42" s="417">
        <f t="shared" si="19"/>
        <v>3.9705215419501139</v>
      </c>
      <c r="O42" s="417">
        <f t="shared" si="19"/>
        <v>4.009070294784582</v>
      </c>
      <c r="P42" s="417">
        <f t="shared" si="19"/>
        <v>4.0476190476190492</v>
      </c>
      <c r="Q42" s="417">
        <f t="shared" si="19"/>
        <v>4.0861678004535156</v>
      </c>
      <c r="R42" s="417">
        <f t="shared" si="19"/>
        <v>4.1247165532879837</v>
      </c>
      <c r="S42" s="417">
        <f t="shared" si="19"/>
        <v>4.16326530612245</v>
      </c>
      <c r="T42" s="417">
        <f t="shared" si="19"/>
        <v>4.2018140589569182</v>
      </c>
      <c r="U42" s="417">
        <f t="shared" si="19"/>
        <v>4.2403628117913854</v>
      </c>
      <c r="V42" s="417">
        <f t="shared" si="19"/>
        <v>4.2789115646258526</v>
      </c>
      <c r="W42" s="417">
        <f t="shared" si="19"/>
        <v>4.3174603174603199</v>
      </c>
      <c r="X42" s="417">
        <f t="shared" si="19"/>
        <v>4.3560090702947871</v>
      </c>
      <c r="Y42" s="417">
        <f t="shared" si="19"/>
        <v>4.3945578231292544</v>
      </c>
      <c r="Z42" s="417">
        <f t="shared" si="19"/>
        <v>4.4331065759637216</v>
      </c>
      <c r="AA42" s="417">
        <f t="shared" si="19"/>
        <v>4.4716553287981888</v>
      </c>
      <c r="AB42" s="417">
        <f t="shared" si="19"/>
        <v>4.5102040816326561</v>
      </c>
      <c r="AC42" s="417">
        <f t="shared" si="19"/>
        <v>4.5487528344671233</v>
      </c>
      <c r="AD42" s="417">
        <f t="shared" si="19"/>
        <v>4.5873015873015905</v>
      </c>
      <c r="AE42" s="417">
        <f t="shared" si="19"/>
        <v>4.6258503401360578</v>
      </c>
      <c r="AF42" s="417">
        <f t="shared" si="19"/>
        <v>4.664399092970525</v>
      </c>
      <c r="AG42" s="417">
        <f t="shared" si="19"/>
        <v>4.7029478458049923</v>
      </c>
      <c r="AH42" s="417">
        <f t="shared" si="19"/>
        <v>4.7414965986394595</v>
      </c>
      <c r="AI42" s="417">
        <f t="shared" si="19"/>
        <v>4.7800453514739267</v>
      </c>
      <c r="AJ42" s="417">
        <f t="shared" si="19"/>
        <v>4.818594104308394</v>
      </c>
      <c r="AK42" s="417">
        <f t="shared" si="19"/>
        <v>4.8571428571428612</v>
      </c>
      <c r="AL42" s="417">
        <f t="shared" si="19"/>
        <v>4.8956916099773284</v>
      </c>
      <c r="AM42" s="417">
        <f t="shared" si="19"/>
        <v>4.9342403628117957</v>
      </c>
      <c r="AN42" s="417">
        <f t="shared" si="19"/>
        <v>4.9727891156462629</v>
      </c>
      <c r="AO42" s="417">
        <f t="shared" si="19"/>
        <v>5.0113378684807302</v>
      </c>
      <c r="AP42" s="417">
        <f t="shared" si="19"/>
        <v>5.0498866213151974</v>
      </c>
      <c r="AQ42" s="417">
        <f t="shared" si="19"/>
        <v>5.0884353741496646</v>
      </c>
      <c r="AR42" s="417">
        <f t="shared" si="19"/>
        <v>5.1269841269841319</v>
      </c>
    </row>
    <row r="43" spans="1:44" ht="15" x14ac:dyDescent="0.25">
      <c r="A43" s="2"/>
      <c r="B43" s="380" t="s">
        <v>293</v>
      </c>
      <c r="C43" s="181" t="s">
        <v>292</v>
      </c>
      <c r="D43" s="440">
        <f>SUM(F43:AR43)</f>
        <v>87.50566893424039</v>
      </c>
      <c r="E43" s="380"/>
      <c r="F43" s="417">
        <f t="shared" ref="F43:G43" si="20">F42*F$11</f>
        <v>0</v>
      </c>
      <c r="G43" s="417">
        <f t="shared" si="20"/>
        <v>0</v>
      </c>
      <c r="H43" s="417">
        <f>H42*H$11</f>
        <v>0</v>
      </c>
      <c r="I43" s="417">
        <f t="shared" ref="I43:AR43" si="21">I42*I$11</f>
        <v>0</v>
      </c>
      <c r="J43" s="417">
        <f t="shared" si="21"/>
        <v>0</v>
      </c>
      <c r="K43" s="417">
        <f t="shared" si="21"/>
        <v>0</v>
      </c>
      <c r="L43" s="417">
        <f t="shared" si="21"/>
        <v>0</v>
      </c>
      <c r="M43" s="417">
        <f t="shared" si="21"/>
        <v>0</v>
      </c>
      <c r="N43" s="417">
        <f t="shared" si="21"/>
        <v>0</v>
      </c>
      <c r="O43" s="417">
        <f t="shared" si="21"/>
        <v>4.009070294784582</v>
      </c>
      <c r="P43" s="417">
        <f t="shared" si="21"/>
        <v>4.0476190476190492</v>
      </c>
      <c r="Q43" s="417">
        <f t="shared" si="21"/>
        <v>4.0861678004535156</v>
      </c>
      <c r="R43" s="417">
        <f t="shared" si="21"/>
        <v>4.1247165532879837</v>
      </c>
      <c r="S43" s="417">
        <f t="shared" si="21"/>
        <v>4.16326530612245</v>
      </c>
      <c r="T43" s="417">
        <f t="shared" si="21"/>
        <v>4.2018140589569182</v>
      </c>
      <c r="U43" s="417">
        <f t="shared" si="21"/>
        <v>4.2403628117913854</v>
      </c>
      <c r="V43" s="417">
        <f t="shared" si="21"/>
        <v>4.2789115646258526</v>
      </c>
      <c r="W43" s="417">
        <f t="shared" si="21"/>
        <v>4.3174603174603199</v>
      </c>
      <c r="X43" s="417">
        <f t="shared" si="21"/>
        <v>4.3560090702947871</v>
      </c>
      <c r="Y43" s="417">
        <f t="shared" si="21"/>
        <v>4.3945578231292544</v>
      </c>
      <c r="Z43" s="417">
        <f t="shared" si="21"/>
        <v>4.4331065759637216</v>
      </c>
      <c r="AA43" s="417">
        <f t="shared" si="21"/>
        <v>4.4716553287981888</v>
      </c>
      <c r="AB43" s="417">
        <f t="shared" si="21"/>
        <v>4.5102040816326561</v>
      </c>
      <c r="AC43" s="417">
        <f t="shared" si="21"/>
        <v>4.5487528344671233</v>
      </c>
      <c r="AD43" s="417">
        <f t="shared" si="21"/>
        <v>4.5873015873015905</v>
      </c>
      <c r="AE43" s="417">
        <f t="shared" si="21"/>
        <v>4.6258503401360578</v>
      </c>
      <c r="AF43" s="417">
        <f t="shared" si="21"/>
        <v>4.664399092970525</v>
      </c>
      <c r="AG43" s="417">
        <f t="shared" si="21"/>
        <v>4.7029478458049923</v>
      </c>
      <c r="AH43" s="417">
        <f t="shared" si="21"/>
        <v>4.7414965986394595</v>
      </c>
      <c r="AI43" s="417">
        <f t="shared" si="21"/>
        <v>0</v>
      </c>
      <c r="AJ43" s="417">
        <f t="shared" si="21"/>
        <v>0</v>
      </c>
      <c r="AK43" s="417">
        <f t="shared" si="21"/>
        <v>0</v>
      </c>
      <c r="AL43" s="417">
        <f t="shared" si="21"/>
        <v>0</v>
      </c>
      <c r="AM43" s="417">
        <f t="shared" si="21"/>
        <v>0</v>
      </c>
      <c r="AN43" s="417">
        <f t="shared" si="21"/>
        <v>0</v>
      </c>
      <c r="AO43" s="417">
        <f t="shared" si="21"/>
        <v>0</v>
      </c>
      <c r="AP43" s="417">
        <f t="shared" si="21"/>
        <v>0</v>
      </c>
      <c r="AQ43" s="417">
        <f t="shared" si="21"/>
        <v>0</v>
      </c>
      <c r="AR43" s="417">
        <f t="shared" si="21"/>
        <v>0</v>
      </c>
    </row>
    <row r="44" spans="1:44" ht="15" x14ac:dyDescent="0.25">
      <c r="A44" s="2"/>
      <c r="B44" s="380"/>
      <c r="C44" s="181"/>
      <c r="D44" s="440"/>
      <c r="E44" s="380"/>
      <c r="F44" s="417"/>
      <c r="G44" s="417"/>
      <c r="H44" s="417"/>
      <c r="I44" s="417"/>
      <c r="J44" s="417"/>
      <c r="K44" s="417"/>
      <c r="L44" s="417"/>
      <c r="M44" s="417"/>
      <c r="N44" s="417"/>
      <c r="O44" s="417"/>
      <c r="P44" s="417"/>
      <c r="Q44" s="417"/>
      <c r="R44" s="417"/>
      <c r="S44" s="417"/>
      <c r="T44" s="417"/>
      <c r="U44" s="417"/>
      <c r="V44" s="417"/>
      <c r="W44" s="417"/>
      <c r="X44" s="417"/>
      <c r="Y44" s="417"/>
      <c r="Z44" s="417"/>
      <c r="AA44" s="417"/>
      <c r="AB44" s="417"/>
      <c r="AC44" s="417"/>
      <c r="AD44" s="417"/>
      <c r="AE44" s="417"/>
      <c r="AF44" s="417"/>
      <c r="AG44" s="417"/>
      <c r="AH44" s="417"/>
      <c r="AI44" s="417"/>
      <c r="AJ44" s="417"/>
      <c r="AK44" s="417"/>
      <c r="AL44" s="417"/>
      <c r="AM44" s="417"/>
      <c r="AN44" s="417"/>
      <c r="AO44" s="417"/>
      <c r="AP44" s="417"/>
      <c r="AQ44" s="417"/>
      <c r="AR44" s="417"/>
    </row>
    <row r="45" spans="1:44" ht="15" x14ac:dyDescent="0.25">
      <c r="A45" s="2" t="s">
        <v>294</v>
      </c>
      <c r="B45" s="380"/>
      <c r="C45" s="181"/>
      <c r="D45" s="440"/>
      <c r="E45" s="380"/>
      <c r="F45" s="417"/>
      <c r="G45" s="417"/>
      <c r="H45" s="417"/>
      <c r="I45" s="417"/>
      <c r="J45" s="417"/>
      <c r="K45" s="417"/>
      <c r="L45" s="417"/>
      <c r="M45" s="417"/>
      <c r="N45" s="417"/>
      <c r="O45" s="417"/>
      <c r="P45" s="417"/>
      <c r="Q45" s="417"/>
      <c r="R45" s="417"/>
      <c r="S45" s="417"/>
      <c r="T45" s="417"/>
      <c r="U45" s="417"/>
      <c r="V45" s="417"/>
      <c r="W45" s="417"/>
      <c r="X45" s="417"/>
      <c r="Y45" s="417"/>
      <c r="Z45" s="417"/>
      <c r="AA45" s="417"/>
      <c r="AB45" s="417"/>
      <c r="AC45" s="417"/>
      <c r="AD45" s="417"/>
      <c r="AE45" s="417"/>
      <c r="AF45" s="417"/>
      <c r="AG45" s="417"/>
      <c r="AH45" s="417"/>
      <c r="AI45" s="417"/>
      <c r="AJ45" s="417"/>
      <c r="AK45" s="417"/>
      <c r="AL45" s="417"/>
      <c r="AM45" s="417"/>
      <c r="AN45" s="417"/>
      <c r="AO45" s="417"/>
      <c r="AP45" s="417"/>
      <c r="AQ45" s="417"/>
      <c r="AR45" s="417"/>
    </row>
    <row r="46" spans="1:44" ht="15" x14ac:dyDescent="0.25">
      <c r="A46" s="2"/>
      <c r="B46" s="380" t="s">
        <v>121</v>
      </c>
      <c r="C46" s="181" t="s">
        <v>86</v>
      </c>
      <c r="D46" s="440">
        <f>SUM(F46:AR46)</f>
        <v>19913240.81632654</v>
      </c>
      <c r="E46" s="380"/>
      <c r="F46" s="417">
        <f t="shared" ref="F46:N46" si="22">F40*$D$36</f>
        <v>425496.59863945574</v>
      </c>
      <c r="G46" s="417">
        <f t="shared" si="22"/>
        <v>429975.5102040816</v>
      </c>
      <c r="H46" s="417">
        <f t="shared" si="22"/>
        <v>434454.42176870746</v>
      </c>
      <c r="I46" s="417">
        <f t="shared" si="22"/>
        <v>438933.33333333331</v>
      </c>
      <c r="J46" s="417">
        <f t="shared" si="22"/>
        <v>443412.24489795917</v>
      </c>
      <c r="K46" s="417">
        <f t="shared" si="22"/>
        <v>447891.15646258503</v>
      </c>
      <c r="L46" s="417">
        <f t="shared" si="22"/>
        <v>452370.06802721095</v>
      </c>
      <c r="M46" s="417">
        <f t="shared" si="22"/>
        <v>456848.9795918368</v>
      </c>
      <c r="N46" s="417">
        <f t="shared" si="22"/>
        <v>461327.89115646266</v>
      </c>
      <c r="O46" s="417">
        <f>O40*$D$36</f>
        <v>465806.80272108858</v>
      </c>
      <c r="P46" s="417">
        <f t="shared" ref="P46:AR46" si="23">P40*$D$36</f>
        <v>470285.71428571438</v>
      </c>
      <c r="Q46" s="417">
        <f t="shared" si="23"/>
        <v>474764.62585034024</v>
      </c>
      <c r="R46" s="417">
        <f t="shared" si="23"/>
        <v>479243.53741496609</v>
      </c>
      <c r="S46" s="417">
        <f t="shared" si="23"/>
        <v>483722.44897959201</v>
      </c>
      <c r="T46" s="417">
        <f t="shared" si="23"/>
        <v>488201.36054421787</v>
      </c>
      <c r="U46" s="417">
        <f t="shared" si="23"/>
        <v>492680.27210884372</v>
      </c>
      <c r="V46" s="417">
        <f t="shared" si="23"/>
        <v>497159.18367346958</v>
      </c>
      <c r="W46" s="417">
        <f t="shared" si="23"/>
        <v>501638.09523809544</v>
      </c>
      <c r="X46" s="417">
        <f t="shared" si="23"/>
        <v>506117.00680272136</v>
      </c>
      <c r="Y46" s="417">
        <f t="shared" si="23"/>
        <v>510595.91836734716</v>
      </c>
      <c r="Z46" s="417">
        <f t="shared" si="23"/>
        <v>515074.82993197313</v>
      </c>
      <c r="AA46" s="417">
        <f t="shared" si="23"/>
        <v>519553.74149659893</v>
      </c>
      <c r="AB46" s="417">
        <f t="shared" si="23"/>
        <v>524032.65306122473</v>
      </c>
      <c r="AC46" s="417">
        <f t="shared" si="23"/>
        <v>528511.56462585065</v>
      </c>
      <c r="AD46" s="417">
        <f t="shared" si="23"/>
        <v>532990.47619047645</v>
      </c>
      <c r="AE46" s="417">
        <f t="shared" si="23"/>
        <v>537469.38775510236</v>
      </c>
      <c r="AF46" s="417">
        <f t="shared" si="23"/>
        <v>541948.29931972828</v>
      </c>
      <c r="AG46" s="417">
        <f t="shared" si="23"/>
        <v>546427.21088435419</v>
      </c>
      <c r="AH46" s="417">
        <f t="shared" si="23"/>
        <v>550906.12244897999</v>
      </c>
      <c r="AI46" s="417">
        <f t="shared" si="23"/>
        <v>555385.03401360579</v>
      </c>
      <c r="AJ46" s="417">
        <f t="shared" si="23"/>
        <v>559863.94557823171</v>
      </c>
      <c r="AK46" s="417">
        <f t="shared" si="23"/>
        <v>564342.85714285751</v>
      </c>
      <c r="AL46" s="417">
        <f t="shared" si="23"/>
        <v>568821.76870748342</v>
      </c>
      <c r="AM46" s="417">
        <f t="shared" si="23"/>
        <v>573300.68027210934</v>
      </c>
      <c r="AN46" s="417">
        <f t="shared" si="23"/>
        <v>577779.59183673526</v>
      </c>
      <c r="AO46" s="417">
        <f t="shared" si="23"/>
        <v>582258.50340136106</v>
      </c>
      <c r="AP46" s="417">
        <f t="shared" si="23"/>
        <v>586737.41496598686</v>
      </c>
      <c r="AQ46" s="417">
        <f t="shared" si="23"/>
        <v>591216.32653061277</v>
      </c>
      <c r="AR46" s="417">
        <f t="shared" si="23"/>
        <v>595695.23809523857</v>
      </c>
    </row>
    <row r="47" spans="1:44" ht="15" x14ac:dyDescent="0.25">
      <c r="A47" s="2"/>
      <c r="B47" s="418" t="s">
        <v>124</v>
      </c>
      <c r="C47" s="183" t="s">
        <v>86</v>
      </c>
      <c r="D47" s="447">
        <f>SUM(F47:AR47)</f>
        <v>861979.59183673514</v>
      </c>
      <c r="E47" s="418"/>
      <c r="F47" s="448">
        <f>F41*$D$37</f>
        <v>18418.367346938776</v>
      </c>
      <c r="G47" s="448">
        <f t="shared" ref="G47:AR47" si="24">G41*$D$37</f>
        <v>18612.244897959183</v>
      </c>
      <c r="H47" s="448">
        <f t="shared" si="24"/>
        <v>18806.122448979593</v>
      </c>
      <c r="I47" s="448">
        <f t="shared" si="24"/>
        <v>19000</v>
      </c>
      <c r="J47" s="448">
        <f t="shared" si="24"/>
        <v>19193.87755102041</v>
      </c>
      <c r="K47" s="448">
        <f t="shared" si="24"/>
        <v>19387.755102040817</v>
      </c>
      <c r="L47" s="448">
        <f t="shared" si="24"/>
        <v>19581.632653061228</v>
      </c>
      <c r="M47" s="448">
        <f t="shared" si="24"/>
        <v>19775.510204081638</v>
      </c>
      <c r="N47" s="448">
        <f t="shared" si="24"/>
        <v>19969.387755102045</v>
      </c>
      <c r="O47" s="448">
        <f t="shared" si="24"/>
        <v>20163.265306122456</v>
      </c>
      <c r="P47" s="448">
        <f t="shared" si="24"/>
        <v>20357.142857142866</v>
      </c>
      <c r="Q47" s="448">
        <f t="shared" si="24"/>
        <v>20551.020408163273</v>
      </c>
      <c r="R47" s="448">
        <f t="shared" si="24"/>
        <v>20744.897959183683</v>
      </c>
      <c r="S47" s="448">
        <f t="shared" si="24"/>
        <v>20938.775510204086</v>
      </c>
      <c r="T47" s="448">
        <f t="shared" si="24"/>
        <v>21132.653061224497</v>
      </c>
      <c r="U47" s="448">
        <f t="shared" si="24"/>
        <v>21326.530612244907</v>
      </c>
      <c r="V47" s="448">
        <f t="shared" si="24"/>
        <v>21520.408163265314</v>
      </c>
      <c r="W47" s="448">
        <f t="shared" si="24"/>
        <v>21714.285714285725</v>
      </c>
      <c r="X47" s="448">
        <f t="shared" si="24"/>
        <v>21908.163265306132</v>
      </c>
      <c r="Y47" s="448">
        <f t="shared" si="24"/>
        <v>22102.040816326542</v>
      </c>
      <c r="Z47" s="448">
        <f t="shared" si="24"/>
        <v>22295.918367346952</v>
      </c>
      <c r="AA47" s="448">
        <f t="shared" si="24"/>
        <v>22489.795918367359</v>
      </c>
      <c r="AB47" s="448">
        <f t="shared" si="24"/>
        <v>22683.67346938777</v>
      </c>
      <c r="AC47" s="448">
        <f t="shared" si="24"/>
        <v>22877.55102040818</v>
      </c>
      <c r="AD47" s="448">
        <f t="shared" si="24"/>
        <v>23071.428571428587</v>
      </c>
      <c r="AE47" s="448">
        <f t="shared" si="24"/>
        <v>23265.306122448997</v>
      </c>
      <c r="AF47" s="448">
        <f t="shared" si="24"/>
        <v>23459.183673469404</v>
      </c>
      <c r="AG47" s="448">
        <f t="shared" si="24"/>
        <v>23653.061224489815</v>
      </c>
      <c r="AH47" s="448">
        <f t="shared" si="24"/>
        <v>23846.938775510225</v>
      </c>
      <c r="AI47" s="448">
        <f t="shared" si="24"/>
        <v>24040.816326530632</v>
      </c>
      <c r="AJ47" s="448">
        <f t="shared" si="24"/>
        <v>24234.693877551043</v>
      </c>
      <c r="AK47" s="448">
        <f t="shared" si="24"/>
        <v>24428.571428571446</v>
      </c>
      <c r="AL47" s="448">
        <f t="shared" si="24"/>
        <v>24622.448979591856</v>
      </c>
      <c r="AM47" s="448">
        <f t="shared" si="24"/>
        <v>24816.326530612267</v>
      </c>
      <c r="AN47" s="448">
        <f t="shared" si="24"/>
        <v>25010.204081632673</v>
      </c>
      <c r="AO47" s="448">
        <f t="shared" si="24"/>
        <v>25204.081632653084</v>
      </c>
      <c r="AP47" s="448">
        <f t="shared" si="24"/>
        <v>25397.959183673494</v>
      </c>
      <c r="AQ47" s="448">
        <f t="shared" si="24"/>
        <v>25591.836734693901</v>
      </c>
      <c r="AR47" s="448">
        <f t="shared" si="24"/>
        <v>25785.714285714312</v>
      </c>
    </row>
    <row r="48" spans="1:44" ht="15" x14ac:dyDescent="0.25">
      <c r="A48" s="2"/>
      <c r="B48" s="380" t="s">
        <v>288</v>
      </c>
      <c r="C48" s="181" t="s">
        <v>86</v>
      </c>
      <c r="D48" s="440">
        <f>SUM(F48:AR48)</f>
        <v>20775220.408163276</v>
      </c>
      <c r="E48" s="380"/>
      <c r="F48" s="417">
        <f>SUM(F46:F47)</f>
        <v>443914.9659863945</v>
      </c>
      <c r="G48" s="417">
        <f t="shared" ref="G48" si="25">SUM(G46:G47)</f>
        <v>448587.75510204077</v>
      </c>
      <c r="H48" s="417">
        <f t="shared" ref="H48" si="26">SUM(H46:H47)</f>
        <v>453260.54421768704</v>
      </c>
      <c r="I48" s="417">
        <f t="shared" ref="I48" si="27">SUM(I46:I47)</f>
        <v>457933.33333333331</v>
      </c>
      <c r="J48" s="417">
        <f t="shared" ref="J48" si="28">SUM(J46:J47)</f>
        <v>462606.12244897959</v>
      </c>
      <c r="K48" s="417">
        <f t="shared" ref="K48" si="29">SUM(K46:K47)</f>
        <v>467278.91156462586</v>
      </c>
      <c r="L48" s="417">
        <f t="shared" ref="L48" si="30">SUM(L46:L47)</f>
        <v>471951.70068027219</v>
      </c>
      <c r="M48" s="417">
        <f t="shared" ref="M48" si="31">SUM(M46:M47)</f>
        <v>476624.48979591846</v>
      </c>
      <c r="N48" s="417">
        <f t="shared" ref="N48" si="32">SUM(N46:N47)</f>
        <v>481297.27891156473</v>
      </c>
      <c r="O48" s="417">
        <f t="shared" ref="O48" si="33">SUM(O46:O47)</f>
        <v>485970.068027211</v>
      </c>
      <c r="P48" s="417">
        <f t="shared" ref="P48" si="34">SUM(P46:P47)</f>
        <v>490642.85714285722</v>
      </c>
      <c r="Q48" s="417">
        <f t="shared" ref="Q48" si="35">SUM(Q46:Q47)</f>
        <v>495315.64625850349</v>
      </c>
      <c r="R48" s="417">
        <f t="shared" ref="R48" si="36">SUM(R46:R47)</f>
        <v>499988.43537414976</v>
      </c>
      <c r="S48" s="417">
        <f t="shared" ref="S48" si="37">SUM(S46:S47)</f>
        <v>504661.22448979609</v>
      </c>
      <c r="T48" s="417">
        <f t="shared" ref="T48" si="38">SUM(T46:T47)</f>
        <v>509334.01360544236</v>
      </c>
      <c r="U48" s="417">
        <f t="shared" ref="U48" si="39">SUM(U46:U47)</f>
        <v>514006.80272108864</v>
      </c>
      <c r="V48" s="417">
        <f t="shared" ref="V48" si="40">SUM(V46:V47)</f>
        <v>518679.59183673491</v>
      </c>
      <c r="W48" s="417">
        <f t="shared" ref="W48" si="41">SUM(W46:W47)</f>
        <v>523352.38095238118</v>
      </c>
      <c r="X48" s="417">
        <f t="shared" ref="X48" si="42">SUM(X46:X47)</f>
        <v>528025.17006802745</v>
      </c>
      <c r="Y48" s="417">
        <f t="shared" ref="Y48" si="43">SUM(Y46:Y47)</f>
        <v>532697.95918367372</v>
      </c>
      <c r="Z48" s="417">
        <f t="shared" ref="Z48" si="44">SUM(Z46:Z47)</f>
        <v>537370.74829932011</v>
      </c>
      <c r="AA48" s="417">
        <f t="shared" ref="AA48" si="45">SUM(AA46:AA47)</f>
        <v>542043.53741496627</v>
      </c>
      <c r="AB48" s="417">
        <f t="shared" ref="AB48" si="46">SUM(AB46:AB47)</f>
        <v>546716.32653061254</v>
      </c>
      <c r="AC48" s="417">
        <f t="shared" ref="AC48" si="47">SUM(AC46:AC47)</f>
        <v>551389.11564625881</v>
      </c>
      <c r="AD48" s="417">
        <f t="shared" ref="AD48" si="48">SUM(AD46:AD47)</f>
        <v>556061.90476190508</v>
      </c>
      <c r="AE48" s="417">
        <f t="shared" ref="AE48" si="49">SUM(AE46:AE47)</f>
        <v>560734.69387755136</v>
      </c>
      <c r="AF48" s="417">
        <f t="shared" ref="AF48" si="50">SUM(AF46:AF47)</f>
        <v>565407.48299319763</v>
      </c>
      <c r="AG48" s="417">
        <f t="shared" ref="AG48" si="51">SUM(AG46:AG47)</f>
        <v>570080.27210884402</v>
      </c>
      <c r="AH48" s="417">
        <f t="shared" ref="AH48" si="52">SUM(AH46:AH47)</f>
        <v>574753.06122449017</v>
      </c>
      <c r="AI48" s="417">
        <f t="shared" ref="AI48" si="53">SUM(AI46:AI47)</f>
        <v>579425.85034013644</v>
      </c>
      <c r="AJ48" s="417">
        <f t="shared" ref="AJ48" si="54">SUM(AJ46:AJ47)</f>
        <v>584098.63945578272</v>
      </c>
      <c r="AK48" s="417">
        <f t="shared" ref="AK48" si="55">SUM(AK46:AK47)</f>
        <v>588771.42857142899</v>
      </c>
      <c r="AL48" s="417">
        <f t="shared" ref="AL48" si="56">SUM(AL46:AL47)</f>
        <v>593444.21768707526</v>
      </c>
      <c r="AM48" s="417">
        <f t="shared" ref="AM48" si="57">SUM(AM46:AM47)</f>
        <v>598117.00680272165</v>
      </c>
      <c r="AN48" s="417">
        <f t="shared" ref="AN48" si="58">SUM(AN46:AN47)</f>
        <v>602789.79591836792</v>
      </c>
      <c r="AO48" s="417">
        <f t="shared" ref="AO48" si="59">SUM(AO46:AO47)</f>
        <v>607462.58503401419</v>
      </c>
      <c r="AP48" s="417">
        <f t="shared" ref="AP48" si="60">SUM(AP46:AP47)</f>
        <v>612135.37414966035</v>
      </c>
      <c r="AQ48" s="417">
        <f t="shared" ref="AQ48" si="61">SUM(AQ46:AQ47)</f>
        <v>616808.16326530662</v>
      </c>
      <c r="AR48" s="417">
        <f t="shared" ref="AR48" si="62">SUM(AR46:AR47)</f>
        <v>621480.95238095289</v>
      </c>
    </row>
    <row r="49" spans="1:44" x14ac:dyDescent="0.2">
      <c r="A49" s="380"/>
      <c r="B49" s="380"/>
      <c r="C49" s="181"/>
      <c r="D49" s="440"/>
      <c r="E49" s="380"/>
      <c r="F49" s="417"/>
      <c r="G49" s="417"/>
      <c r="H49" s="417"/>
      <c r="I49" s="417"/>
      <c r="J49" s="417"/>
      <c r="K49" s="417"/>
      <c r="L49" s="417"/>
      <c r="M49" s="417"/>
      <c r="N49" s="417"/>
      <c r="O49" s="417"/>
      <c r="P49" s="417"/>
      <c r="Q49" s="417"/>
      <c r="R49" s="417"/>
      <c r="S49" s="417"/>
      <c r="T49" s="417"/>
      <c r="U49" s="417"/>
      <c r="V49" s="417"/>
      <c r="W49" s="417"/>
      <c r="X49" s="417"/>
      <c r="Y49" s="417"/>
      <c r="Z49" s="417"/>
      <c r="AA49" s="417"/>
      <c r="AB49" s="417"/>
      <c r="AC49" s="417"/>
      <c r="AD49" s="417"/>
      <c r="AE49" s="417"/>
      <c r="AF49" s="417"/>
      <c r="AG49" s="417"/>
      <c r="AH49" s="417"/>
      <c r="AI49" s="417"/>
      <c r="AJ49" s="417"/>
      <c r="AK49" s="417"/>
      <c r="AL49" s="417"/>
      <c r="AM49" s="417"/>
      <c r="AN49" s="417"/>
      <c r="AO49" s="417"/>
      <c r="AP49" s="417"/>
      <c r="AQ49" s="417"/>
      <c r="AR49" s="417"/>
    </row>
    <row r="50" spans="1:44" x14ac:dyDescent="0.2">
      <c r="A50" s="380"/>
      <c r="B50" s="380"/>
      <c r="C50" s="11"/>
      <c r="D50" s="380"/>
      <c r="E50" s="380"/>
      <c r="F50" s="380"/>
      <c r="G50" s="380"/>
      <c r="H50" s="380"/>
      <c r="I50" s="380"/>
      <c r="J50" s="380"/>
      <c r="K50" s="380"/>
      <c r="L50" s="380"/>
      <c r="M50" s="380"/>
      <c r="N50" s="380"/>
      <c r="O50" s="380"/>
      <c r="P50" s="380"/>
      <c r="Q50" s="380"/>
      <c r="R50" s="380"/>
      <c r="S50" s="380"/>
      <c r="T50" s="380"/>
      <c r="U50" s="380"/>
      <c r="V50" s="380"/>
      <c r="W50" s="380"/>
      <c r="X50" s="380"/>
      <c r="Y50" s="380"/>
      <c r="Z50" s="380"/>
      <c r="AA50" s="380"/>
      <c r="AB50" s="380"/>
      <c r="AC50" s="380"/>
      <c r="AD50" s="380"/>
      <c r="AE50" s="380"/>
      <c r="AF50" s="380"/>
      <c r="AG50" s="380"/>
      <c r="AH50" s="380"/>
      <c r="AI50" s="380"/>
      <c r="AJ50" s="380"/>
      <c r="AK50" s="380"/>
      <c r="AL50" s="380"/>
      <c r="AM50" s="380"/>
      <c r="AN50" s="380"/>
      <c r="AO50" s="380"/>
      <c r="AP50" s="380"/>
      <c r="AQ50" s="380"/>
      <c r="AR50" s="380"/>
    </row>
    <row r="51" spans="1:44" s="4" customFormat="1" x14ac:dyDescent="0.2">
      <c r="A51" s="449" t="s">
        <v>255</v>
      </c>
      <c r="B51" s="8"/>
      <c r="C51" s="182"/>
      <c r="D51" s="450"/>
      <c r="E51" s="450"/>
      <c r="F51" s="450"/>
      <c r="G51" s="450"/>
      <c r="H51" s="450"/>
      <c r="I51" s="450"/>
      <c r="J51" s="450"/>
      <c r="K51" s="450"/>
      <c r="L51" s="450"/>
      <c r="M51" s="450"/>
      <c r="N51" s="450"/>
      <c r="O51" s="450"/>
      <c r="P51" s="450"/>
      <c r="Q51" s="450"/>
      <c r="R51" s="450"/>
      <c r="S51" s="450"/>
      <c r="T51" s="450"/>
      <c r="U51" s="450"/>
      <c r="V51" s="450"/>
      <c r="W51" s="450"/>
      <c r="X51" s="450"/>
      <c r="Y51" s="450"/>
      <c r="Z51" s="450"/>
      <c r="AA51" s="450"/>
      <c r="AB51" s="450"/>
      <c r="AC51" s="450"/>
      <c r="AD51" s="450"/>
      <c r="AE51" s="450"/>
      <c r="AF51" s="450"/>
      <c r="AG51" s="450"/>
      <c r="AH51" s="450"/>
      <c r="AI51" s="450"/>
      <c r="AJ51" s="450"/>
      <c r="AK51" s="450"/>
      <c r="AL51" s="450"/>
      <c r="AM51" s="450"/>
      <c r="AN51" s="450"/>
      <c r="AO51" s="450"/>
      <c r="AP51" s="450"/>
      <c r="AQ51" s="450"/>
      <c r="AR51" s="450"/>
    </row>
    <row r="52" spans="1:44" ht="15" x14ac:dyDescent="0.25">
      <c r="A52" s="2" t="s">
        <v>285</v>
      </c>
      <c r="B52" s="380"/>
      <c r="C52" s="10"/>
      <c r="D52" s="380"/>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80"/>
      <c r="AI52" s="380"/>
      <c r="AJ52" s="380"/>
      <c r="AK52" s="380"/>
      <c r="AL52" s="380"/>
      <c r="AM52" s="380"/>
      <c r="AN52" s="380"/>
      <c r="AO52" s="380"/>
      <c r="AP52" s="380"/>
      <c r="AQ52" s="380"/>
      <c r="AR52" s="380"/>
    </row>
    <row r="53" spans="1:44" x14ac:dyDescent="0.2">
      <c r="A53" s="380"/>
      <c r="B53" s="380" t="str">
        <f>Traffic!B58</f>
        <v>Total Vehicular Traffic</v>
      </c>
      <c r="C53" s="181" t="s">
        <v>112</v>
      </c>
      <c r="D53" s="440">
        <f t="shared" ref="D53" si="63">SUM(F53:AR53)</f>
        <v>876751.20000000054</v>
      </c>
      <c r="E53" s="380"/>
      <c r="F53" s="417">
        <f>Traffic!F58</f>
        <v>18734</v>
      </c>
      <c r="G53" s="417">
        <f>Traffic!G58</f>
        <v>18931.2</v>
      </c>
      <c r="H53" s="417">
        <f>Traffic!H58</f>
        <v>19128.400000000001</v>
      </c>
      <c r="I53" s="417">
        <f>Traffic!I58</f>
        <v>19325.600000000002</v>
      </c>
      <c r="J53" s="417">
        <f>Traffic!J58</f>
        <v>19522.800000000003</v>
      </c>
      <c r="K53" s="417">
        <f>Traffic!K58</f>
        <v>19720.000000000004</v>
      </c>
      <c r="L53" s="417">
        <f>Traffic!L58</f>
        <v>19917.200000000004</v>
      </c>
      <c r="M53" s="417">
        <f>Traffic!M58</f>
        <v>20114.400000000005</v>
      </c>
      <c r="N53" s="417">
        <f>Traffic!N58</f>
        <v>20311.600000000006</v>
      </c>
      <c r="O53" s="417">
        <f>Traffic!O58</f>
        <v>20508.800000000007</v>
      </c>
      <c r="P53" s="417">
        <f>Traffic!P58</f>
        <v>20706.000000000007</v>
      </c>
      <c r="Q53" s="417">
        <f>Traffic!Q58</f>
        <v>20903.200000000008</v>
      </c>
      <c r="R53" s="417">
        <f>Traffic!R58</f>
        <v>21100.400000000009</v>
      </c>
      <c r="S53" s="417">
        <f>Traffic!S58</f>
        <v>21297.600000000009</v>
      </c>
      <c r="T53" s="417">
        <f>Traffic!T58</f>
        <v>21494.80000000001</v>
      </c>
      <c r="U53" s="417">
        <f>Traffic!U58</f>
        <v>21692.000000000011</v>
      </c>
      <c r="V53" s="417">
        <f>Traffic!V58</f>
        <v>21889.200000000012</v>
      </c>
      <c r="W53" s="417">
        <f>Traffic!W58</f>
        <v>22086.400000000012</v>
      </c>
      <c r="X53" s="417">
        <f>Traffic!X58</f>
        <v>22283.600000000013</v>
      </c>
      <c r="Y53" s="417">
        <f>Traffic!Y58</f>
        <v>22480.800000000014</v>
      </c>
      <c r="Z53" s="417">
        <f>Traffic!Z58</f>
        <v>22678.000000000015</v>
      </c>
      <c r="AA53" s="417">
        <f>Traffic!AA58</f>
        <v>22875.200000000015</v>
      </c>
      <c r="AB53" s="417">
        <f>Traffic!AB58</f>
        <v>23072.400000000016</v>
      </c>
      <c r="AC53" s="417">
        <f>Traffic!AC58</f>
        <v>23269.600000000017</v>
      </c>
      <c r="AD53" s="417">
        <f>Traffic!AD58</f>
        <v>23466.800000000017</v>
      </c>
      <c r="AE53" s="417">
        <f>Traffic!AE58</f>
        <v>23664.000000000018</v>
      </c>
      <c r="AF53" s="417">
        <f>Traffic!AF58</f>
        <v>23861.200000000019</v>
      </c>
      <c r="AG53" s="417">
        <f>Traffic!AG58</f>
        <v>24058.40000000002</v>
      </c>
      <c r="AH53" s="417">
        <f>Traffic!AH58</f>
        <v>24255.60000000002</v>
      </c>
      <c r="AI53" s="417">
        <f>Traffic!AI58</f>
        <v>24452.800000000021</v>
      </c>
      <c r="AJ53" s="417">
        <f>Traffic!AJ58</f>
        <v>24650.000000000022</v>
      </c>
      <c r="AK53" s="417">
        <f>Traffic!AK58</f>
        <v>24847.200000000023</v>
      </c>
      <c r="AL53" s="417">
        <f>Traffic!AL58</f>
        <v>25044.400000000023</v>
      </c>
      <c r="AM53" s="417">
        <f>Traffic!AM58</f>
        <v>25241.600000000024</v>
      </c>
      <c r="AN53" s="417">
        <f>Traffic!AN58</f>
        <v>25438.800000000025</v>
      </c>
      <c r="AO53" s="417">
        <f>Traffic!AO58</f>
        <v>25636.000000000025</v>
      </c>
      <c r="AP53" s="417">
        <f>Traffic!AP58</f>
        <v>25833.200000000026</v>
      </c>
      <c r="AQ53" s="417">
        <f>Traffic!AQ58</f>
        <v>26030.400000000027</v>
      </c>
      <c r="AR53" s="417">
        <f>Traffic!AR58</f>
        <v>26227.600000000028</v>
      </c>
    </row>
    <row r="54" spans="1:44" ht="15" x14ac:dyDescent="0.25">
      <c r="A54" s="2" t="s">
        <v>295</v>
      </c>
      <c r="B54" s="380"/>
      <c r="C54" s="181"/>
      <c r="D54" s="440"/>
      <c r="E54" s="380"/>
      <c r="F54" s="417"/>
      <c r="G54" s="417"/>
      <c r="H54" s="417"/>
      <c r="I54" s="417"/>
      <c r="J54" s="417"/>
      <c r="K54" s="417"/>
      <c r="L54" s="417"/>
      <c r="M54" s="417"/>
      <c r="N54" s="417"/>
      <c r="O54" s="417"/>
      <c r="P54" s="417"/>
      <c r="Q54" s="417"/>
      <c r="R54" s="417"/>
      <c r="S54" s="417"/>
      <c r="T54" s="417"/>
      <c r="U54" s="417"/>
      <c r="V54" s="417"/>
      <c r="W54" s="417"/>
      <c r="X54" s="417"/>
      <c r="Y54" s="417"/>
      <c r="Z54" s="417"/>
      <c r="AA54" s="417"/>
      <c r="AB54" s="417"/>
      <c r="AC54" s="417"/>
      <c r="AD54" s="417"/>
      <c r="AE54" s="417"/>
      <c r="AF54" s="417"/>
      <c r="AG54" s="417"/>
      <c r="AH54" s="417"/>
      <c r="AI54" s="417"/>
      <c r="AJ54" s="417"/>
      <c r="AK54" s="417"/>
      <c r="AL54" s="417"/>
      <c r="AM54" s="417"/>
      <c r="AN54" s="417"/>
      <c r="AO54" s="417"/>
      <c r="AP54" s="417"/>
      <c r="AQ54" s="417"/>
      <c r="AR54" s="417"/>
    </row>
    <row r="55" spans="1:44" x14ac:dyDescent="0.2">
      <c r="A55" s="380"/>
      <c r="B55" s="380" t="str">
        <f>Inputs!C68</f>
        <v xml:space="preserve">Crash Modification Factor </v>
      </c>
      <c r="C55" s="181" t="s">
        <v>127</v>
      </c>
      <c r="D55" s="380">
        <f>Inputs!$E$68</f>
        <v>0.52</v>
      </c>
      <c r="E55" s="380"/>
      <c r="F55" s="417"/>
      <c r="G55" s="417"/>
      <c r="H55" s="417"/>
      <c r="I55" s="417"/>
      <c r="J55" s="417"/>
      <c r="K55" s="417"/>
      <c r="L55" s="417"/>
      <c r="M55" s="417"/>
      <c r="N55" s="417"/>
      <c r="O55" s="417"/>
      <c r="P55" s="417"/>
      <c r="Q55" s="417"/>
      <c r="R55" s="417"/>
      <c r="S55" s="417"/>
      <c r="T55" s="417"/>
      <c r="U55" s="417"/>
      <c r="V55" s="417"/>
      <c r="W55" s="417"/>
      <c r="X55" s="417"/>
      <c r="Y55" s="417"/>
      <c r="Z55" s="417"/>
      <c r="AA55" s="417"/>
      <c r="AB55" s="417"/>
      <c r="AC55" s="417"/>
      <c r="AD55" s="417"/>
      <c r="AE55" s="417"/>
      <c r="AF55" s="417"/>
      <c r="AG55" s="417"/>
      <c r="AH55" s="417"/>
      <c r="AI55" s="417"/>
      <c r="AJ55" s="417"/>
      <c r="AK55" s="417"/>
      <c r="AL55" s="417"/>
      <c r="AM55" s="417"/>
      <c r="AN55" s="417"/>
      <c r="AO55" s="417"/>
      <c r="AP55" s="417"/>
      <c r="AQ55" s="417"/>
      <c r="AR55" s="417"/>
    </row>
    <row r="56" spans="1:44" x14ac:dyDescent="0.2">
      <c r="A56" s="380"/>
      <c r="B56" s="380"/>
      <c r="C56" s="181"/>
      <c r="D56" s="440"/>
      <c r="E56" s="380"/>
      <c r="F56" s="417"/>
      <c r="G56" s="417"/>
      <c r="H56" s="417"/>
      <c r="I56" s="417"/>
      <c r="J56" s="417"/>
      <c r="K56" s="417"/>
      <c r="L56" s="417"/>
      <c r="M56" s="417"/>
      <c r="N56" s="417"/>
      <c r="O56" s="417"/>
      <c r="P56" s="417"/>
      <c r="Q56" s="417"/>
      <c r="R56" s="417"/>
      <c r="S56" s="417"/>
      <c r="T56" s="417"/>
      <c r="U56" s="417"/>
      <c r="V56" s="417"/>
      <c r="W56" s="417"/>
      <c r="X56" s="417"/>
      <c r="Y56" s="417"/>
      <c r="Z56" s="417"/>
      <c r="AA56" s="417"/>
      <c r="AB56" s="417"/>
      <c r="AC56" s="417"/>
      <c r="AD56" s="417"/>
      <c r="AE56" s="417"/>
      <c r="AF56" s="417"/>
      <c r="AG56" s="417"/>
      <c r="AH56" s="417"/>
      <c r="AI56" s="417"/>
      <c r="AJ56" s="417"/>
      <c r="AK56" s="417"/>
      <c r="AL56" s="417"/>
      <c r="AM56" s="417"/>
      <c r="AN56" s="417"/>
      <c r="AO56" s="417"/>
      <c r="AP56" s="417"/>
      <c r="AQ56" s="417"/>
      <c r="AR56" s="417"/>
    </row>
    <row r="57" spans="1:44" ht="15" x14ac:dyDescent="0.25">
      <c r="A57" s="2" t="s">
        <v>287</v>
      </c>
      <c r="B57" s="380"/>
      <c r="C57" s="181"/>
      <c r="D57" s="440"/>
      <c r="E57" s="380"/>
      <c r="F57" s="417"/>
      <c r="G57" s="417"/>
      <c r="H57" s="417"/>
      <c r="I57" s="417"/>
      <c r="J57" s="417"/>
      <c r="K57" s="417"/>
      <c r="L57" s="417"/>
      <c r="M57" s="417"/>
      <c r="N57" s="417"/>
      <c r="O57" s="417"/>
      <c r="P57" s="417"/>
      <c r="Q57" s="417"/>
      <c r="R57" s="417"/>
      <c r="S57" s="417"/>
      <c r="T57" s="417"/>
      <c r="U57" s="417"/>
      <c r="V57" s="417"/>
      <c r="W57" s="417"/>
      <c r="X57" s="417"/>
      <c r="Y57" s="417"/>
      <c r="Z57" s="417"/>
      <c r="AA57" s="417"/>
      <c r="AB57" s="417"/>
      <c r="AC57" s="417"/>
      <c r="AD57" s="417"/>
      <c r="AE57" s="417"/>
      <c r="AF57" s="417"/>
      <c r="AG57" s="417"/>
      <c r="AH57" s="417"/>
      <c r="AI57" s="417"/>
      <c r="AJ57" s="417"/>
      <c r="AK57" s="417"/>
      <c r="AL57" s="417"/>
      <c r="AM57" s="417"/>
      <c r="AN57" s="417"/>
      <c r="AO57" s="417"/>
      <c r="AP57" s="417"/>
      <c r="AQ57" s="417"/>
      <c r="AR57" s="417"/>
    </row>
    <row r="58" spans="1:44" x14ac:dyDescent="0.2">
      <c r="A58" s="380"/>
      <c r="B58" s="380" t="s">
        <v>121</v>
      </c>
      <c r="C58" s="181" t="s">
        <v>289</v>
      </c>
      <c r="D58" s="456">
        <f>D31*$D$55</f>
        <v>4.7835226044440759E-5</v>
      </c>
      <c r="E58" s="380"/>
      <c r="F58" s="417"/>
      <c r="G58" s="417"/>
      <c r="H58" s="417"/>
      <c r="I58" s="417"/>
      <c r="J58" s="417"/>
      <c r="K58" s="417"/>
      <c r="L58" s="417"/>
      <c r="M58" s="417"/>
      <c r="N58" s="417"/>
      <c r="O58" s="417"/>
      <c r="P58" s="417"/>
      <c r="Q58" s="417"/>
      <c r="R58" s="417"/>
      <c r="S58" s="417"/>
      <c r="T58" s="417"/>
      <c r="U58" s="417"/>
      <c r="V58" s="417"/>
      <c r="W58" s="417"/>
      <c r="X58" s="417"/>
      <c r="Y58" s="417"/>
      <c r="Z58" s="417"/>
      <c r="AA58" s="417"/>
      <c r="AB58" s="417"/>
      <c r="AC58" s="417"/>
      <c r="AD58" s="417"/>
      <c r="AE58" s="417"/>
      <c r="AF58" s="417"/>
      <c r="AG58" s="417"/>
      <c r="AH58" s="417"/>
      <c r="AI58" s="417"/>
      <c r="AJ58" s="417"/>
      <c r="AK58" s="417"/>
      <c r="AL58" s="417"/>
      <c r="AM58" s="417"/>
      <c r="AN58" s="417"/>
      <c r="AO58" s="417"/>
      <c r="AP58" s="417"/>
      <c r="AQ58" s="417"/>
      <c r="AR58" s="417"/>
    </row>
    <row r="59" spans="1:44" x14ac:dyDescent="0.2">
      <c r="A59" s="380"/>
      <c r="B59" s="380" t="s">
        <v>124</v>
      </c>
      <c r="C59" s="181" t="s">
        <v>289</v>
      </c>
      <c r="D59" s="456">
        <f>D32*$D$55</f>
        <v>5.3814629299995859E-5</v>
      </c>
      <c r="E59" s="380"/>
      <c r="F59" s="417"/>
      <c r="G59" s="417"/>
      <c r="H59" s="417"/>
      <c r="I59" s="417"/>
      <c r="J59" s="417"/>
      <c r="K59" s="417"/>
      <c r="L59" s="417"/>
      <c r="M59" s="417"/>
      <c r="N59" s="417"/>
      <c r="O59" s="417"/>
      <c r="P59" s="417"/>
      <c r="Q59" s="417"/>
      <c r="R59" s="417"/>
      <c r="S59" s="417"/>
      <c r="T59" s="417"/>
      <c r="U59" s="417"/>
      <c r="V59" s="417"/>
      <c r="W59" s="417"/>
      <c r="X59" s="417"/>
      <c r="Y59" s="417"/>
      <c r="Z59" s="417"/>
      <c r="AA59" s="417"/>
      <c r="AB59" s="417"/>
      <c r="AC59" s="417"/>
      <c r="AD59" s="417"/>
      <c r="AE59" s="417"/>
      <c r="AF59" s="417"/>
      <c r="AG59" s="417"/>
      <c r="AH59" s="417"/>
      <c r="AI59" s="417"/>
      <c r="AJ59" s="417"/>
      <c r="AK59" s="417"/>
      <c r="AL59" s="417"/>
      <c r="AM59" s="417"/>
      <c r="AN59" s="417"/>
      <c r="AO59" s="417"/>
      <c r="AP59" s="417"/>
      <c r="AQ59" s="417"/>
      <c r="AR59" s="417"/>
    </row>
    <row r="60" spans="1:44" x14ac:dyDescent="0.2">
      <c r="A60" s="380"/>
      <c r="B60" s="380" t="s">
        <v>288</v>
      </c>
      <c r="C60" s="181" t="s">
        <v>289</v>
      </c>
      <c r="D60" s="456">
        <f>D33*$D$55</f>
        <v>1.0164985534443661E-4</v>
      </c>
      <c r="E60" s="380"/>
      <c r="F60" s="417"/>
      <c r="G60" s="417"/>
      <c r="H60" s="417"/>
      <c r="I60" s="417"/>
      <c r="J60" s="417"/>
      <c r="K60" s="417"/>
      <c r="L60" s="417"/>
      <c r="M60" s="417"/>
      <c r="N60" s="417"/>
      <c r="O60" s="417"/>
      <c r="P60" s="417"/>
      <c r="Q60" s="417"/>
      <c r="R60" s="417"/>
      <c r="S60" s="417"/>
      <c r="T60" s="417"/>
      <c r="U60" s="417"/>
      <c r="V60" s="417"/>
      <c r="W60" s="417"/>
      <c r="X60" s="417"/>
      <c r="Y60" s="417"/>
      <c r="Z60" s="417"/>
      <c r="AA60" s="417"/>
      <c r="AB60" s="417"/>
      <c r="AC60" s="417"/>
      <c r="AD60" s="417"/>
      <c r="AE60" s="417"/>
      <c r="AF60" s="417"/>
      <c r="AG60" s="417"/>
      <c r="AH60" s="417"/>
      <c r="AI60" s="417"/>
      <c r="AJ60" s="417"/>
      <c r="AK60" s="417"/>
      <c r="AL60" s="417"/>
      <c r="AM60" s="417"/>
      <c r="AN60" s="417"/>
      <c r="AO60" s="417"/>
      <c r="AP60" s="417"/>
      <c r="AQ60" s="417"/>
      <c r="AR60" s="417"/>
    </row>
    <row r="61" spans="1:44" x14ac:dyDescent="0.2">
      <c r="A61" s="380"/>
      <c r="B61" s="380"/>
      <c r="C61" s="181"/>
      <c r="D61" s="440"/>
      <c r="E61" s="417"/>
      <c r="F61" s="417"/>
      <c r="G61" s="417"/>
      <c r="H61" s="417"/>
      <c r="I61" s="417"/>
      <c r="J61" s="417"/>
      <c r="K61" s="417"/>
      <c r="L61" s="417"/>
      <c r="M61" s="417"/>
      <c r="N61" s="417"/>
      <c r="O61" s="417"/>
      <c r="P61" s="417"/>
      <c r="Q61" s="417"/>
      <c r="R61" s="417"/>
      <c r="S61" s="417"/>
      <c r="T61" s="417"/>
      <c r="U61" s="417"/>
      <c r="V61" s="417"/>
      <c r="W61" s="417"/>
      <c r="X61" s="417"/>
      <c r="Y61" s="417"/>
      <c r="Z61" s="417"/>
      <c r="AA61" s="417"/>
      <c r="AB61" s="417"/>
      <c r="AC61" s="417"/>
      <c r="AD61" s="417"/>
      <c r="AE61" s="417"/>
      <c r="AF61" s="417"/>
      <c r="AG61" s="417"/>
      <c r="AH61" s="417"/>
      <c r="AI61" s="417"/>
      <c r="AJ61" s="417"/>
      <c r="AK61" s="417"/>
      <c r="AL61" s="417"/>
      <c r="AM61" s="417"/>
      <c r="AN61" s="417"/>
      <c r="AO61" s="417"/>
      <c r="AP61" s="417"/>
      <c r="AQ61" s="417"/>
      <c r="AR61" s="417"/>
    </row>
    <row r="62" spans="1:44" ht="15" x14ac:dyDescent="0.25">
      <c r="A62" s="2" t="s">
        <v>290</v>
      </c>
      <c r="B62" s="380"/>
      <c r="C62" s="181"/>
      <c r="D62" s="453"/>
      <c r="E62" s="380"/>
      <c r="F62" s="417"/>
      <c r="G62" s="417"/>
      <c r="H62" s="417"/>
      <c r="I62" s="417"/>
      <c r="J62" s="417"/>
      <c r="K62" s="417"/>
      <c r="L62" s="417"/>
      <c r="M62" s="417"/>
      <c r="N62" s="417"/>
      <c r="O62" s="417"/>
      <c r="P62" s="417"/>
      <c r="Q62" s="417"/>
      <c r="R62" s="417"/>
      <c r="S62" s="417"/>
      <c r="T62" s="417"/>
      <c r="U62" s="417"/>
      <c r="V62" s="417"/>
      <c r="W62" s="417"/>
      <c r="X62" s="417"/>
      <c r="Y62" s="417"/>
      <c r="Z62" s="417"/>
      <c r="AA62" s="417"/>
      <c r="AB62" s="417"/>
      <c r="AC62" s="417"/>
      <c r="AD62" s="417"/>
      <c r="AE62" s="417"/>
      <c r="AF62" s="417"/>
      <c r="AG62" s="417"/>
      <c r="AH62" s="417"/>
      <c r="AI62" s="417"/>
      <c r="AJ62" s="417"/>
      <c r="AK62" s="417"/>
      <c r="AL62" s="417"/>
      <c r="AM62" s="417"/>
      <c r="AN62" s="417"/>
      <c r="AO62" s="417"/>
      <c r="AP62" s="417"/>
      <c r="AQ62" s="417"/>
      <c r="AR62" s="417"/>
    </row>
    <row r="63" spans="1:44" x14ac:dyDescent="0.2">
      <c r="A63" s="380"/>
      <c r="B63" s="380" t="s">
        <v>121</v>
      </c>
      <c r="C63" s="181" t="s">
        <v>122</v>
      </c>
      <c r="D63" s="426">
        <f>Inputs!$E$66</f>
        <v>246900</v>
      </c>
      <c r="E63" s="380"/>
      <c r="F63" s="417"/>
      <c r="G63" s="417"/>
      <c r="H63" s="417"/>
      <c r="I63" s="417"/>
      <c r="J63" s="417"/>
      <c r="K63" s="417"/>
      <c r="L63" s="417"/>
      <c r="M63" s="417"/>
      <c r="N63" s="417"/>
      <c r="O63" s="417"/>
      <c r="P63" s="417"/>
      <c r="Q63" s="417"/>
      <c r="R63" s="417"/>
      <c r="S63" s="417"/>
      <c r="T63" s="417"/>
      <c r="U63" s="417"/>
      <c r="V63" s="417"/>
      <c r="W63" s="417"/>
      <c r="X63" s="417"/>
      <c r="Y63" s="417"/>
      <c r="Z63" s="417"/>
      <c r="AA63" s="417"/>
      <c r="AB63" s="417"/>
      <c r="AC63" s="417"/>
      <c r="AD63" s="417"/>
      <c r="AE63" s="417"/>
      <c r="AF63" s="417"/>
      <c r="AG63" s="417"/>
      <c r="AH63" s="417"/>
      <c r="AI63" s="417"/>
      <c r="AJ63" s="417"/>
      <c r="AK63" s="417"/>
      <c r="AL63" s="417"/>
      <c r="AM63" s="417"/>
      <c r="AN63" s="417"/>
      <c r="AO63" s="417"/>
      <c r="AP63" s="417"/>
      <c r="AQ63" s="417"/>
      <c r="AR63" s="417"/>
    </row>
    <row r="64" spans="1:44" x14ac:dyDescent="0.2">
      <c r="A64" s="380"/>
      <c r="B64" s="380" t="s">
        <v>124</v>
      </c>
      <c r="C64" s="181" t="s">
        <v>122</v>
      </c>
      <c r="D64" s="426">
        <f>Inputs!$E$67</f>
        <v>9500</v>
      </c>
      <c r="E64" s="380"/>
      <c r="F64" s="417"/>
      <c r="G64" s="417"/>
      <c r="H64" s="417"/>
      <c r="I64" s="417"/>
      <c r="J64" s="417"/>
      <c r="K64" s="417"/>
      <c r="L64" s="417"/>
      <c r="M64" s="417"/>
      <c r="N64" s="417"/>
      <c r="O64" s="417"/>
      <c r="P64" s="417"/>
      <c r="Q64" s="417"/>
      <c r="R64" s="417"/>
      <c r="S64" s="417"/>
      <c r="T64" s="417"/>
      <c r="U64" s="417"/>
      <c r="V64" s="417"/>
      <c r="W64" s="417"/>
      <c r="X64" s="417"/>
      <c r="Y64" s="417"/>
      <c r="Z64" s="417"/>
      <c r="AA64" s="417"/>
      <c r="AB64" s="417"/>
      <c r="AC64" s="417"/>
      <c r="AD64" s="417"/>
      <c r="AE64" s="417"/>
      <c r="AF64" s="417"/>
      <c r="AG64" s="417"/>
      <c r="AH64" s="417"/>
      <c r="AI64" s="417"/>
      <c r="AJ64" s="417"/>
      <c r="AK64" s="417"/>
      <c r="AL64" s="417"/>
      <c r="AM64" s="417"/>
      <c r="AN64" s="417"/>
      <c r="AO64" s="417"/>
      <c r="AP64" s="417"/>
      <c r="AQ64" s="417"/>
      <c r="AR64" s="417"/>
    </row>
    <row r="65" spans="1:44" x14ac:dyDescent="0.2">
      <c r="A65" s="380"/>
      <c r="B65" s="380"/>
      <c r="C65" s="181"/>
      <c r="D65" s="453"/>
      <c r="E65" s="380"/>
      <c r="F65" s="417"/>
      <c r="G65" s="417"/>
      <c r="H65" s="417"/>
      <c r="I65" s="417"/>
      <c r="J65" s="417"/>
      <c r="K65" s="417"/>
      <c r="L65" s="417"/>
      <c r="M65" s="417"/>
      <c r="N65" s="417"/>
      <c r="O65" s="417"/>
      <c r="P65" s="417"/>
      <c r="Q65" s="417"/>
      <c r="R65" s="417"/>
      <c r="S65" s="417"/>
      <c r="T65" s="417"/>
      <c r="U65" s="417"/>
      <c r="V65" s="417"/>
      <c r="W65" s="417"/>
      <c r="X65" s="417"/>
      <c r="Y65" s="417"/>
      <c r="Z65" s="417"/>
      <c r="AA65" s="417"/>
      <c r="AB65" s="417"/>
      <c r="AC65" s="417"/>
      <c r="AD65" s="417"/>
      <c r="AE65" s="417"/>
      <c r="AF65" s="417"/>
      <c r="AG65" s="417"/>
      <c r="AH65" s="417"/>
      <c r="AI65" s="417"/>
      <c r="AJ65" s="417"/>
      <c r="AK65" s="417"/>
      <c r="AL65" s="417"/>
      <c r="AM65" s="417"/>
      <c r="AN65" s="417"/>
      <c r="AO65" s="417"/>
      <c r="AP65" s="417"/>
      <c r="AQ65" s="417"/>
      <c r="AR65" s="417"/>
    </row>
    <row r="66" spans="1:44" ht="15" x14ac:dyDescent="0.25">
      <c r="A66" s="2" t="s">
        <v>291</v>
      </c>
      <c r="B66" s="380"/>
      <c r="C66" s="181"/>
      <c r="D66" s="440"/>
      <c r="E66" s="380"/>
      <c r="F66" s="417"/>
      <c r="G66" s="417"/>
      <c r="H66" s="417"/>
      <c r="I66" s="417"/>
      <c r="J66" s="417"/>
      <c r="K66" s="417"/>
      <c r="L66" s="417"/>
      <c r="M66" s="417"/>
      <c r="N66" s="417"/>
      <c r="O66" s="417"/>
      <c r="P66" s="417"/>
      <c r="Q66" s="417"/>
      <c r="R66" s="417"/>
      <c r="S66" s="417"/>
      <c r="T66" s="417"/>
      <c r="U66" s="417"/>
      <c r="V66" s="417"/>
      <c r="W66" s="417"/>
      <c r="X66" s="417"/>
      <c r="Y66" s="417"/>
      <c r="Z66" s="417"/>
      <c r="AA66" s="417"/>
      <c r="AB66" s="417"/>
      <c r="AC66" s="417"/>
      <c r="AD66" s="417"/>
      <c r="AE66" s="417"/>
      <c r="AF66" s="417"/>
      <c r="AG66" s="417"/>
      <c r="AH66" s="417"/>
      <c r="AI66" s="417"/>
      <c r="AJ66" s="417"/>
      <c r="AK66" s="417"/>
      <c r="AL66" s="417"/>
      <c r="AM66" s="417"/>
      <c r="AN66" s="417"/>
      <c r="AO66" s="417"/>
      <c r="AP66" s="417"/>
      <c r="AQ66" s="417"/>
      <c r="AR66" s="417"/>
    </row>
    <row r="67" spans="1:44" ht="15" x14ac:dyDescent="0.25">
      <c r="A67" s="2"/>
      <c r="B67" s="380" t="s">
        <v>121</v>
      </c>
      <c r="C67" s="181" t="s">
        <v>292</v>
      </c>
      <c r="D67" s="440">
        <f>SUM(F67:AR67)</f>
        <v>41.939591836734706</v>
      </c>
      <c r="E67" s="380"/>
      <c r="F67" s="417">
        <f>F$53*$D58</f>
        <v>0.89614512471655317</v>
      </c>
      <c r="G67" s="417">
        <f t="shared" ref="G67:AR67" si="64">G$53*$D58</f>
        <v>0.90557823129251691</v>
      </c>
      <c r="H67" s="417">
        <f t="shared" si="64"/>
        <v>0.91501133786848066</v>
      </c>
      <c r="I67" s="417">
        <f t="shared" si="64"/>
        <v>0.9244444444444444</v>
      </c>
      <c r="J67" s="417">
        <f t="shared" si="64"/>
        <v>0.93387755102040815</v>
      </c>
      <c r="K67" s="417">
        <f t="shared" si="64"/>
        <v>0.943310657596372</v>
      </c>
      <c r="L67" s="417">
        <f t="shared" si="64"/>
        <v>0.95274376417233575</v>
      </c>
      <c r="M67" s="417">
        <f t="shared" si="64"/>
        <v>0.9621768707482995</v>
      </c>
      <c r="N67" s="417">
        <f t="shared" si="64"/>
        <v>0.97160997732426324</v>
      </c>
      <c r="O67" s="417">
        <f t="shared" si="64"/>
        <v>0.98104308390022699</v>
      </c>
      <c r="P67" s="417">
        <f t="shared" si="64"/>
        <v>0.99047619047619073</v>
      </c>
      <c r="Q67" s="417">
        <f t="shared" si="64"/>
        <v>0.99990929705215448</v>
      </c>
      <c r="R67" s="417">
        <f t="shared" si="64"/>
        <v>1.0093424036281182</v>
      </c>
      <c r="S67" s="417">
        <f t="shared" si="64"/>
        <v>1.0187755102040821</v>
      </c>
      <c r="T67" s="417">
        <f t="shared" si="64"/>
        <v>1.0282086167800457</v>
      </c>
      <c r="U67" s="417">
        <f t="shared" si="64"/>
        <v>1.0376417233560096</v>
      </c>
      <c r="V67" s="417">
        <f t="shared" si="64"/>
        <v>1.0470748299319732</v>
      </c>
      <c r="W67" s="417">
        <f t="shared" si="64"/>
        <v>1.0565079365079371</v>
      </c>
      <c r="X67" s="417">
        <f t="shared" si="64"/>
        <v>1.0659410430839007</v>
      </c>
      <c r="Y67" s="417">
        <f t="shared" si="64"/>
        <v>1.0753741496598646</v>
      </c>
      <c r="Z67" s="417">
        <f t="shared" si="64"/>
        <v>1.0848072562358282</v>
      </c>
      <c r="AA67" s="417">
        <f t="shared" si="64"/>
        <v>1.094240362811792</v>
      </c>
      <c r="AB67" s="417">
        <f t="shared" si="64"/>
        <v>1.1036734693877557</v>
      </c>
      <c r="AC67" s="417">
        <f t="shared" si="64"/>
        <v>1.1131065759637195</v>
      </c>
      <c r="AD67" s="417">
        <f t="shared" si="64"/>
        <v>1.1225396825396832</v>
      </c>
      <c r="AE67" s="417">
        <f t="shared" si="64"/>
        <v>1.131972789115647</v>
      </c>
      <c r="AF67" s="417">
        <f t="shared" si="64"/>
        <v>1.1414058956916107</v>
      </c>
      <c r="AG67" s="417">
        <f t="shared" si="64"/>
        <v>1.1508390022675745</v>
      </c>
      <c r="AH67" s="417">
        <f t="shared" si="64"/>
        <v>1.1602721088435382</v>
      </c>
      <c r="AI67" s="417">
        <f t="shared" si="64"/>
        <v>1.169705215419502</v>
      </c>
      <c r="AJ67" s="417">
        <f t="shared" si="64"/>
        <v>1.1791383219954659</v>
      </c>
      <c r="AK67" s="417">
        <f t="shared" si="64"/>
        <v>1.1885714285714295</v>
      </c>
      <c r="AL67" s="417">
        <f t="shared" si="64"/>
        <v>1.1980045351473934</v>
      </c>
      <c r="AM67" s="417">
        <f t="shared" si="64"/>
        <v>1.207437641723357</v>
      </c>
      <c r="AN67" s="417">
        <f t="shared" si="64"/>
        <v>1.2168707482993208</v>
      </c>
      <c r="AO67" s="417">
        <f t="shared" si="64"/>
        <v>1.2263038548752845</v>
      </c>
      <c r="AP67" s="417">
        <f t="shared" si="64"/>
        <v>1.2357369614512483</v>
      </c>
      <c r="AQ67" s="417">
        <f t="shared" si="64"/>
        <v>1.245170068027212</v>
      </c>
      <c r="AR67" s="417">
        <f t="shared" si="64"/>
        <v>1.2546031746031758</v>
      </c>
    </row>
    <row r="68" spans="1:44" ht="15" x14ac:dyDescent="0.25">
      <c r="A68" s="2"/>
      <c r="B68" s="380" t="s">
        <v>124</v>
      </c>
      <c r="C68" s="181" t="s">
        <v>292</v>
      </c>
      <c r="D68" s="440">
        <f>SUM(F68:AR68)</f>
        <v>47.182040816326555</v>
      </c>
      <c r="E68" s="380"/>
      <c r="F68" s="417">
        <f>F$53*$D59</f>
        <v>1.0081632653061223</v>
      </c>
      <c r="G68" s="417">
        <f t="shared" ref="G68:AR68" si="65">G$53*$D59</f>
        <v>1.0187755102040816</v>
      </c>
      <c r="H68" s="417">
        <f t="shared" si="65"/>
        <v>1.0293877551020409</v>
      </c>
      <c r="I68" s="417">
        <f t="shared" si="65"/>
        <v>1.04</v>
      </c>
      <c r="J68" s="417">
        <f t="shared" si="65"/>
        <v>1.0506122448979593</v>
      </c>
      <c r="K68" s="417">
        <f t="shared" si="65"/>
        <v>1.0612244897959184</v>
      </c>
      <c r="L68" s="417">
        <f t="shared" si="65"/>
        <v>1.0718367346938777</v>
      </c>
      <c r="M68" s="417">
        <f t="shared" si="65"/>
        <v>1.0824489795918371</v>
      </c>
      <c r="N68" s="417">
        <f t="shared" si="65"/>
        <v>1.0930612244897961</v>
      </c>
      <c r="O68" s="417">
        <f t="shared" si="65"/>
        <v>1.1036734693877555</v>
      </c>
      <c r="P68" s="417">
        <f t="shared" si="65"/>
        <v>1.1142857142857145</v>
      </c>
      <c r="Q68" s="417">
        <f t="shared" si="65"/>
        <v>1.1248979591836739</v>
      </c>
      <c r="R68" s="417">
        <f t="shared" si="65"/>
        <v>1.1355102040816332</v>
      </c>
      <c r="S68" s="417">
        <f t="shared" si="65"/>
        <v>1.1461224489795923</v>
      </c>
      <c r="T68" s="417">
        <f t="shared" si="65"/>
        <v>1.1567346938775516</v>
      </c>
      <c r="U68" s="417">
        <f t="shared" si="65"/>
        <v>1.1673469387755107</v>
      </c>
      <c r="V68" s="417">
        <f t="shared" si="65"/>
        <v>1.17795918367347</v>
      </c>
      <c r="W68" s="417">
        <f t="shared" si="65"/>
        <v>1.1885714285714293</v>
      </c>
      <c r="X68" s="417">
        <f t="shared" si="65"/>
        <v>1.1991836734693884</v>
      </c>
      <c r="Y68" s="417">
        <f t="shared" si="65"/>
        <v>1.2097959183673477</v>
      </c>
      <c r="Z68" s="417">
        <f t="shared" si="65"/>
        <v>1.2204081632653068</v>
      </c>
      <c r="AA68" s="417">
        <f t="shared" si="65"/>
        <v>1.2310204081632661</v>
      </c>
      <c r="AB68" s="417">
        <f t="shared" si="65"/>
        <v>1.2416326530612254</v>
      </c>
      <c r="AC68" s="417">
        <f t="shared" si="65"/>
        <v>1.2522448979591845</v>
      </c>
      <c r="AD68" s="417">
        <f t="shared" si="65"/>
        <v>1.2628571428571438</v>
      </c>
      <c r="AE68" s="417">
        <f t="shared" si="65"/>
        <v>1.2734693877551029</v>
      </c>
      <c r="AF68" s="417">
        <f t="shared" si="65"/>
        <v>1.2840816326530622</v>
      </c>
      <c r="AG68" s="417">
        <f t="shared" si="65"/>
        <v>1.2946938775510215</v>
      </c>
      <c r="AH68" s="417">
        <f t="shared" si="65"/>
        <v>1.3053061224489806</v>
      </c>
      <c r="AI68" s="417">
        <f t="shared" si="65"/>
        <v>1.3159183673469399</v>
      </c>
      <c r="AJ68" s="417">
        <f t="shared" si="65"/>
        <v>1.326530612244899</v>
      </c>
      <c r="AK68" s="417">
        <f t="shared" si="65"/>
        <v>1.3371428571428583</v>
      </c>
      <c r="AL68" s="417">
        <f t="shared" si="65"/>
        <v>1.3477551020408176</v>
      </c>
      <c r="AM68" s="417">
        <f t="shared" si="65"/>
        <v>1.3583673469387767</v>
      </c>
      <c r="AN68" s="417">
        <f t="shared" si="65"/>
        <v>1.368979591836736</v>
      </c>
      <c r="AO68" s="417">
        <f t="shared" si="65"/>
        <v>1.3795918367346951</v>
      </c>
      <c r="AP68" s="417">
        <f t="shared" si="65"/>
        <v>1.3902040816326544</v>
      </c>
      <c r="AQ68" s="417">
        <f t="shared" si="65"/>
        <v>1.4008163265306137</v>
      </c>
      <c r="AR68" s="417">
        <f t="shared" si="65"/>
        <v>1.4114285714285728</v>
      </c>
    </row>
    <row r="69" spans="1:44" ht="15" x14ac:dyDescent="0.25">
      <c r="A69" s="2"/>
      <c r="B69" s="380" t="s">
        <v>288</v>
      </c>
      <c r="C69" s="181" t="s">
        <v>292</v>
      </c>
      <c r="D69" s="440">
        <f>SUM(F69:AR69)</f>
        <v>89.121632653061269</v>
      </c>
      <c r="E69" s="380"/>
      <c r="F69" s="417">
        <f>SUM(F67:F68)</f>
        <v>1.9043083900226754</v>
      </c>
      <c r="G69" s="417">
        <f t="shared" ref="G69:AR69" si="66">SUM(G67:G68)</f>
        <v>1.9243537414965985</v>
      </c>
      <c r="H69" s="417">
        <f t="shared" si="66"/>
        <v>1.9443990929705217</v>
      </c>
      <c r="I69" s="417">
        <f t="shared" si="66"/>
        <v>1.9644444444444444</v>
      </c>
      <c r="J69" s="417">
        <f t="shared" si="66"/>
        <v>1.9844897959183676</v>
      </c>
      <c r="K69" s="417">
        <f t="shared" si="66"/>
        <v>2.0045351473922906</v>
      </c>
      <c r="L69" s="417">
        <f t="shared" si="66"/>
        <v>2.0245804988662135</v>
      </c>
      <c r="M69" s="417">
        <f t="shared" si="66"/>
        <v>2.0446258503401364</v>
      </c>
      <c r="N69" s="417">
        <f t="shared" si="66"/>
        <v>2.0646712018140594</v>
      </c>
      <c r="O69" s="417">
        <f t="shared" si="66"/>
        <v>2.0847165532879823</v>
      </c>
      <c r="P69" s="417">
        <f t="shared" si="66"/>
        <v>2.1047619047619053</v>
      </c>
      <c r="Q69" s="417">
        <f t="shared" si="66"/>
        <v>2.1248072562358282</v>
      </c>
      <c r="R69" s="417">
        <f t="shared" si="66"/>
        <v>2.1448526077097512</v>
      </c>
      <c r="S69" s="417">
        <f t="shared" si="66"/>
        <v>2.1648979591836746</v>
      </c>
      <c r="T69" s="417">
        <f t="shared" si="66"/>
        <v>2.1849433106575971</v>
      </c>
      <c r="U69" s="417">
        <f t="shared" si="66"/>
        <v>2.2049886621315204</v>
      </c>
      <c r="V69" s="417">
        <f t="shared" si="66"/>
        <v>2.225034013605443</v>
      </c>
      <c r="W69" s="417">
        <f t="shared" si="66"/>
        <v>2.2450793650793663</v>
      </c>
      <c r="X69" s="417">
        <f t="shared" si="66"/>
        <v>2.2651247165532888</v>
      </c>
      <c r="Y69" s="417">
        <f t="shared" si="66"/>
        <v>2.2851700680272122</v>
      </c>
      <c r="Z69" s="417">
        <f t="shared" si="66"/>
        <v>2.3052154195011347</v>
      </c>
      <c r="AA69" s="417">
        <f t="shared" si="66"/>
        <v>2.3252607709750581</v>
      </c>
      <c r="AB69" s="417">
        <f t="shared" si="66"/>
        <v>2.3453061224489811</v>
      </c>
      <c r="AC69" s="417">
        <f t="shared" si="66"/>
        <v>2.365351473922904</v>
      </c>
      <c r="AD69" s="417">
        <f t="shared" si="66"/>
        <v>2.385396825396827</v>
      </c>
      <c r="AE69" s="417">
        <f t="shared" si="66"/>
        <v>2.4054421768707499</v>
      </c>
      <c r="AF69" s="417">
        <f t="shared" si="66"/>
        <v>2.4254875283446728</v>
      </c>
      <c r="AG69" s="417">
        <f t="shared" si="66"/>
        <v>2.4455328798185958</v>
      </c>
      <c r="AH69" s="417">
        <f t="shared" si="66"/>
        <v>2.4655782312925187</v>
      </c>
      <c r="AI69" s="417">
        <f t="shared" si="66"/>
        <v>2.4856235827664417</v>
      </c>
      <c r="AJ69" s="417">
        <f t="shared" si="66"/>
        <v>2.5056689342403651</v>
      </c>
      <c r="AK69" s="417">
        <f t="shared" si="66"/>
        <v>2.5257142857142876</v>
      </c>
      <c r="AL69" s="417">
        <f t="shared" si="66"/>
        <v>2.545759637188211</v>
      </c>
      <c r="AM69" s="417">
        <f t="shared" si="66"/>
        <v>2.5658049886621335</v>
      </c>
      <c r="AN69" s="417">
        <f t="shared" si="66"/>
        <v>2.5858503401360569</v>
      </c>
      <c r="AO69" s="417">
        <f t="shared" si="66"/>
        <v>2.6058956916099794</v>
      </c>
      <c r="AP69" s="417">
        <f t="shared" si="66"/>
        <v>2.6259410430839027</v>
      </c>
      <c r="AQ69" s="417">
        <f t="shared" si="66"/>
        <v>2.6459863945578257</v>
      </c>
      <c r="AR69" s="417">
        <f t="shared" si="66"/>
        <v>2.6660317460317486</v>
      </c>
    </row>
    <row r="70" spans="1:44" ht="15" x14ac:dyDescent="0.25">
      <c r="A70" s="2"/>
      <c r="B70" s="380" t="s">
        <v>293</v>
      </c>
      <c r="C70" s="181" t="s">
        <v>292</v>
      </c>
      <c r="D70" s="440">
        <f>SUM(F70:AR70)</f>
        <v>45.502947845805011</v>
      </c>
      <c r="E70" s="380"/>
      <c r="F70" s="417">
        <f t="shared" ref="F70" si="67">F69*F$11</f>
        <v>0</v>
      </c>
      <c r="G70" s="417">
        <f t="shared" ref="G70" si="68">G69*G$11</f>
        <v>0</v>
      </c>
      <c r="H70" s="417">
        <f>H69*H$11</f>
        <v>0</v>
      </c>
      <c r="I70" s="417">
        <f t="shared" ref="I70" si="69">I69*I$11</f>
        <v>0</v>
      </c>
      <c r="J70" s="417">
        <f t="shared" ref="J70" si="70">J69*J$11</f>
        <v>0</v>
      </c>
      <c r="K70" s="417">
        <f t="shared" ref="K70" si="71">K69*K$11</f>
        <v>0</v>
      </c>
      <c r="L70" s="417">
        <f t="shared" ref="L70" si="72">L69*L$11</f>
        <v>0</v>
      </c>
      <c r="M70" s="417">
        <f t="shared" ref="M70" si="73">M69*M$11</f>
        <v>0</v>
      </c>
      <c r="N70" s="417">
        <f t="shared" ref="N70" si="74">N69*N$11</f>
        <v>0</v>
      </c>
      <c r="O70" s="417">
        <f t="shared" ref="O70" si="75">O69*O$11</f>
        <v>2.0847165532879823</v>
      </c>
      <c r="P70" s="417">
        <f t="shared" ref="P70" si="76">P69*P$11</f>
        <v>2.1047619047619053</v>
      </c>
      <c r="Q70" s="417">
        <f t="shared" ref="Q70" si="77">Q69*Q$11</f>
        <v>2.1248072562358282</v>
      </c>
      <c r="R70" s="417">
        <f t="shared" ref="R70" si="78">R69*R$11</f>
        <v>2.1448526077097512</v>
      </c>
      <c r="S70" s="417">
        <f t="shared" ref="S70" si="79">S69*S$11</f>
        <v>2.1648979591836746</v>
      </c>
      <c r="T70" s="417">
        <f t="shared" ref="T70" si="80">T69*T$11</f>
        <v>2.1849433106575971</v>
      </c>
      <c r="U70" s="417">
        <f t="shared" ref="U70" si="81">U69*U$11</f>
        <v>2.2049886621315204</v>
      </c>
      <c r="V70" s="417">
        <f t="shared" ref="V70" si="82">V69*V$11</f>
        <v>2.225034013605443</v>
      </c>
      <c r="W70" s="417">
        <f t="shared" ref="W70" si="83">W69*W$11</f>
        <v>2.2450793650793663</v>
      </c>
      <c r="X70" s="417">
        <f t="shared" ref="X70" si="84">X69*X$11</f>
        <v>2.2651247165532888</v>
      </c>
      <c r="Y70" s="417">
        <f t="shared" ref="Y70" si="85">Y69*Y$11</f>
        <v>2.2851700680272122</v>
      </c>
      <c r="Z70" s="417">
        <f t="shared" ref="Z70" si="86">Z69*Z$11</f>
        <v>2.3052154195011347</v>
      </c>
      <c r="AA70" s="417">
        <f t="shared" ref="AA70" si="87">AA69*AA$11</f>
        <v>2.3252607709750581</v>
      </c>
      <c r="AB70" s="417">
        <f t="shared" ref="AB70" si="88">AB69*AB$11</f>
        <v>2.3453061224489811</v>
      </c>
      <c r="AC70" s="417">
        <f t="shared" ref="AC70" si="89">AC69*AC$11</f>
        <v>2.365351473922904</v>
      </c>
      <c r="AD70" s="417">
        <f t="shared" ref="AD70" si="90">AD69*AD$11</f>
        <v>2.385396825396827</v>
      </c>
      <c r="AE70" s="417">
        <f t="shared" ref="AE70" si="91">AE69*AE$11</f>
        <v>2.4054421768707499</v>
      </c>
      <c r="AF70" s="417">
        <f t="shared" ref="AF70" si="92">AF69*AF$11</f>
        <v>2.4254875283446728</v>
      </c>
      <c r="AG70" s="417">
        <f t="shared" ref="AG70" si="93">AG69*AG$11</f>
        <v>2.4455328798185958</v>
      </c>
      <c r="AH70" s="417">
        <f t="shared" ref="AH70" si="94">AH69*AH$11</f>
        <v>2.4655782312925187</v>
      </c>
      <c r="AI70" s="417">
        <f t="shared" ref="AI70" si="95">AI69*AI$11</f>
        <v>0</v>
      </c>
      <c r="AJ70" s="417">
        <f t="shared" ref="AJ70" si="96">AJ69*AJ$11</f>
        <v>0</v>
      </c>
      <c r="AK70" s="417">
        <f t="shared" ref="AK70" si="97">AK69*AK$11</f>
        <v>0</v>
      </c>
      <c r="AL70" s="417">
        <f t="shared" ref="AL70" si="98">AL69*AL$11</f>
        <v>0</v>
      </c>
      <c r="AM70" s="417">
        <f t="shared" ref="AM70" si="99">AM69*AM$11</f>
        <v>0</v>
      </c>
      <c r="AN70" s="417">
        <f t="shared" ref="AN70" si="100">AN69*AN$11</f>
        <v>0</v>
      </c>
      <c r="AO70" s="417">
        <f t="shared" ref="AO70" si="101">AO69*AO$11</f>
        <v>0</v>
      </c>
      <c r="AP70" s="417">
        <f t="shared" ref="AP70" si="102">AP69*AP$11</f>
        <v>0</v>
      </c>
      <c r="AQ70" s="417">
        <f t="shared" ref="AQ70" si="103">AQ69*AQ$11</f>
        <v>0</v>
      </c>
      <c r="AR70" s="417">
        <f t="shared" ref="AR70" si="104">AR69*AR$11</f>
        <v>0</v>
      </c>
    </row>
    <row r="71" spans="1:44" ht="15" x14ac:dyDescent="0.25">
      <c r="A71" s="2"/>
      <c r="B71" s="380"/>
      <c r="C71" s="181"/>
      <c r="D71" s="457"/>
      <c r="E71" s="380"/>
      <c r="F71" s="417"/>
      <c r="G71" s="417"/>
      <c r="H71" s="417"/>
      <c r="I71" s="417"/>
      <c r="J71" s="417"/>
      <c r="K71" s="417"/>
      <c r="L71" s="417"/>
      <c r="M71" s="417"/>
      <c r="N71" s="417"/>
      <c r="O71" s="417"/>
      <c r="P71" s="417"/>
      <c r="Q71" s="417"/>
      <c r="R71" s="417"/>
      <c r="S71" s="417"/>
      <c r="T71" s="417"/>
      <c r="U71" s="417"/>
      <c r="V71" s="417"/>
      <c r="W71" s="417"/>
      <c r="X71" s="417"/>
      <c r="Y71" s="417"/>
      <c r="Z71" s="417"/>
      <c r="AA71" s="417"/>
      <c r="AB71" s="417"/>
      <c r="AC71" s="417"/>
      <c r="AD71" s="417"/>
      <c r="AE71" s="417"/>
      <c r="AF71" s="417"/>
      <c r="AG71" s="417"/>
      <c r="AH71" s="417"/>
      <c r="AI71" s="417"/>
      <c r="AJ71" s="417"/>
      <c r="AK71" s="417"/>
      <c r="AL71" s="417"/>
      <c r="AM71" s="417"/>
      <c r="AN71" s="417"/>
      <c r="AO71" s="417"/>
      <c r="AP71" s="417"/>
      <c r="AQ71" s="417"/>
      <c r="AR71" s="417"/>
    </row>
    <row r="72" spans="1:44" ht="15" x14ac:dyDescent="0.25">
      <c r="A72" s="2" t="s">
        <v>294</v>
      </c>
      <c r="B72" s="380"/>
      <c r="C72" s="181"/>
      <c r="D72" s="440"/>
      <c r="E72" s="380"/>
      <c r="F72" s="417"/>
      <c r="G72" s="417"/>
      <c r="H72" s="417"/>
      <c r="I72" s="417"/>
      <c r="J72" s="417"/>
      <c r="K72" s="417"/>
      <c r="L72" s="417"/>
      <c r="M72" s="417"/>
      <c r="N72" s="417"/>
      <c r="O72" s="417"/>
      <c r="P72" s="417"/>
      <c r="Q72" s="417"/>
      <c r="R72" s="417"/>
      <c r="S72" s="417"/>
      <c r="T72" s="417"/>
      <c r="U72" s="417"/>
      <c r="V72" s="417"/>
      <c r="W72" s="417"/>
      <c r="X72" s="417"/>
      <c r="Y72" s="417"/>
      <c r="Z72" s="417"/>
      <c r="AA72" s="417"/>
      <c r="AB72" s="417"/>
      <c r="AC72" s="417"/>
      <c r="AD72" s="417"/>
      <c r="AE72" s="417"/>
      <c r="AF72" s="417"/>
      <c r="AG72" s="417"/>
      <c r="AH72" s="417"/>
      <c r="AI72" s="417"/>
      <c r="AJ72" s="417"/>
      <c r="AK72" s="417"/>
      <c r="AL72" s="417"/>
      <c r="AM72" s="417"/>
      <c r="AN72" s="417"/>
      <c r="AO72" s="417"/>
      <c r="AP72" s="417"/>
      <c r="AQ72" s="417"/>
      <c r="AR72" s="417"/>
    </row>
    <row r="73" spans="1:44" ht="15" x14ac:dyDescent="0.25">
      <c r="A73" s="2"/>
      <c r="B73" s="380" t="s">
        <v>121</v>
      </c>
      <c r="C73" s="181" t="s">
        <v>86</v>
      </c>
      <c r="D73" s="440">
        <f>SUM(F73:AR73)</f>
        <v>10354885.224489802</v>
      </c>
      <c r="E73" s="380"/>
      <c r="F73" s="417">
        <f>F67*$D$63</f>
        <v>221258.23129251698</v>
      </c>
      <c r="G73" s="417">
        <f t="shared" ref="G73:AR73" si="105">G67*$D$63</f>
        <v>223587.26530612243</v>
      </c>
      <c r="H73" s="417">
        <f t="shared" si="105"/>
        <v>225916.29931972787</v>
      </c>
      <c r="I73" s="417">
        <f t="shared" si="105"/>
        <v>228245.33333333331</v>
      </c>
      <c r="J73" s="417">
        <f t="shared" si="105"/>
        <v>230574.36734693876</v>
      </c>
      <c r="K73" s="417">
        <f t="shared" si="105"/>
        <v>232903.40136054426</v>
      </c>
      <c r="L73" s="417">
        <f t="shared" si="105"/>
        <v>235232.4353741497</v>
      </c>
      <c r="M73" s="417">
        <f t="shared" si="105"/>
        <v>237561.46938775515</v>
      </c>
      <c r="N73" s="417">
        <f t="shared" si="105"/>
        <v>239890.50340136059</v>
      </c>
      <c r="O73" s="417">
        <f t="shared" si="105"/>
        <v>242219.53741496603</v>
      </c>
      <c r="P73" s="417">
        <f t="shared" si="105"/>
        <v>244548.57142857148</v>
      </c>
      <c r="Q73" s="417">
        <f t="shared" si="105"/>
        <v>246877.60544217695</v>
      </c>
      <c r="R73" s="417">
        <f t="shared" si="105"/>
        <v>249206.6394557824</v>
      </c>
      <c r="S73" s="417">
        <f t="shared" si="105"/>
        <v>251535.67346938787</v>
      </c>
      <c r="T73" s="417">
        <f t="shared" si="105"/>
        <v>253864.70748299328</v>
      </c>
      <c r="U73" s="417">
        <f t="shared" si="105"/>
        <v>256193.74149659876</v>
      </c>
      <c r="V73" s="417">
        <f t="shared" si="105"/>
        <v>258522.77551020417</v>
      </c>
      <c r="W73" s="417">
        <f t="shared" si="105"/>
        <v>260851.80952380967</v>
      </c>
      <c r="X73" s="417">
        <f t="shared" si="105"/>
        <v>263180.84353741509</v>
      </c>
      <c r="Y73" s="417">
        <f t="shared" si="105"/>
        <v>265509.87755102053</v>
      </c>
      <c r="Z73" s="417">
        <f t="shared" si="105"/>
        <v>267838.91156462597</v>
      </c>
      <c r="AA73" s="417">
        <f t="shared" si="105"/>
        <v>270167.94557823148</v>
      </c>
      <c r="AB73" s="417">
        <f t="shared" si="105"/>
        <v>272496.97959183686</v>
      </c>
      <c r="AC73" s="417">
        <f t="shared" si="105"/>
        <v>274826.01360544236</v>
      </c>
      <c r="AD73" s="417">
        <f t="shared" si="105"/>
        <v>277155.04761904775</v>
      </c>
      <c r="AE73" s="417">
        <f t="shared" si="105"/>
        <v>279484.08163265325</v>
      </c>
      <c r="AF73" s="417">
        <f t="shared" si="105"/>
        <v>281813.1156462587</v>
      </c>
      <c r="AG73" s="417">
        <f t="shared" si="105"/>
        <v>284142.14965986414</v>
      </c>
      <c r="AH73" s="417">
        <f t="shared" si="105"/>
        <v>286471.18367346958</v>
      </c>
      <c r="AI73" s="417">
        <f t="shared" si="105"/>
        <v>288800.21768707503</v>
      </c>
      <c r="AJ73" s="417">
        <f t="shared" si="105"/>
        <v>291129.25170068053</v>
      </c>
      <c r="AK73" s="417">
        <f t="shared" si="105"/>
        <v>293458.28571428597</v>
      </c>
      <c r="AL73" s="417">
        <f t="shared" si="105"/>
        <v>295787.31972789142</v>
      </c>
      <c r="AM73" s="417">
        <f t="shared" si="105"/>
        <v>298116.35374149686</v>
      </c>
      <c r="AN73" s="417">
        <f t="shared" si="105"/>
        <v>300445.3877551023</v>
      </c>
      <c r="AO73" s="417">
        <f t="shared" si="105"/>
        <v>302774.42176870775</v>
      </c>
      <c r="AP73" s="417">
        <f t="shared" si="105"/>
        <v>305103.45578231319</v>
      </c>
      <c r="AQ73" s="417">
        <f t="shared" si="105"/>
        <v>307432.48979591863</v>
      </c>
      <c r="AR73" s="417">
        <f t="shared" si="105"/>
        <v>309761.52380952414</v>
      </c>
    </row>
    <row r="74" spans="1:44" ht="15" x14ac:dyDescent="0.25">
      <c r="A74" s="2"/>
      <c r="B74" s="418" t="s">
        <v>124</v>
      </c>
      <c r="C74" s="183" t="s">
        <v>86</v>
      </c>
      <c r="D74" s="447">
        <f>SUM(F74:AR74)</f>
        <v>448229.3877551023</v>
      </c>
      <c r="E74" s="418"/>
      <c r="F74" s="448">
        <f>F68*$D$64</f>
        <v>9577.551020408162</v>
      </c>
      <c r="G74" s="448">
        <f t="shared" ref="G74:AR74" si="106">G68*$D$64</f>
        <v>9678.3673469387759</v>
      </c>
      <c r="H74" s="448">
        <f t="shared" si="106"/>
        <v>9779.1836734693898</v>
      </c>
      <c r="I74" s="448">
        <f t="shared" si="106"/>
        <v>9880</v>
      </c>
      <c r="J74" s="448">
        <f t="shared" si="106"/>
        <v>9980.8163265306139</v>
      </c>
      <c r="K74" s="448">
        <f t="shared" si="106"/>
        <v>10081.632653061226</v>
      </c>
      <c r="L74" s="448">
        <f t="shared" si="106"/>
        <v>10182.448979591838</v>
      </c>
      <c r="M74" s="448">
        <f t="shared" si="106"/>
        <v>10283.265306122452</v>
      </c>
      <c r="N74" s="448">
        <f t="shared" si="106"/>
        <v>10384.081632653064</v>
      </c>
      <c r="O74" s="448">
        <f t="shared" si="106"/>
        <v>10484.897959183676</v>
      </c>
      <c r="P74" s="448">
        <f t="shared" si="106"/>
        <v>10585.714285714288</v>
      </c>
      <c r="Q74" s="448">
        <f t="shared" si="106"/>
        <v>10686.530612244902</v>
      </c>
      <c r="R74" s="448">
        <f t="shared" si="106"/>
        <v>10787.346938775516</v>
      </c>
      <c r="S74" s="448">
        <f t="shared" si="106"/>
        <v>10888.163265306126</v>
      </c>
      <c r="T74" s="448">
        <f t="shared" si="106"/>
        <v>10988.97959183674</v>
      </c>
      <c r="U74" s="448">
        <f t="shared" si="106"/>
        <v>11089.795918367352</v>
      </c>
      <c r="V74" s="448">
        <f t="shared" si="106"/>
        <v>11190.612244897964</v>
      </c>
      <c r="W74" s="448">
        <f t="shared" si="106"/>
        <v>11291.428571428578</v>
      </c>
      <c r="X74" s="448">
        <f t="shared" si="106"/>
        <v>11392.24489795919</v>
      </c>
      <c r="Y74" s="448">
        <f t="shared" si="106"/>
        <v>11493.061224489802</v>
      </c>
      <c r="Z74" s="448">
        <f t="shared" si="106"/>
        <v>11593.877551020414</v>
      </c>
      <c r="AA74" s="448">
        <f t="shared" si="106"/>
        <v>11694.693877551028</v>
      </c>
      <c r="AB74" s="448">
        <f t="shared" si="106"/>
        <v>11795.510204081642</v>
      </c>
      <c r="AC74" s="448">
        <f t="shared" si="106"/>
        <v>11896.326530612252</v>
      </c>
      <c r="AD74" s="448">
        <f t="shared" si="106"/>
        <v>11997.142857142866</v>
      </c>
      <c r="AE74" s="448">
        <f t="shared" si="106"/>
        <v>12097.959183673478</v>
      </c>
      <c r="AF74" s="448">
        <f t="shared" si="106"/>
        <v>12198.77551020409</v>
      </c>
      <c r="AG74" s="448">
        <f t="shared" si="106"/>
        <v>12299.591836734704</v>
      </c>
      <c r="AH74" s="448">
        <f t="shared" si="106"/>
        <v>12400.408163265316</v>
      </c>
      <c r="AI74" s="448">
        <f t="shared" si="106"/>
        <v>12501.22448979593</v>
      </c>
      <c r="AJ74" s="448">
        <f t="shared" si="106"/>
        <v>12602.04081632654</v>
      </c>
      <c r="AK74" s="448">
        <f t="shared" si="106"/>
        <v>12702.857142857154</v>
      </c>
      <c r="AL74" s="448">
        <f t="shared" si="106"/>
        <v>12803.673469387768</v>
      </c>
      <c r="AM74" s="448">
        <f t="shared" si="106"/>
        <v>12904.489795918378</v>
      </c>
      <c r="AN74" s="448">
        <f t="shared" si="106"/>
        <v>13005.306122448992</v>
      </c>
      <c r="AO74" s="448">
        <f t="shared" si="106"/>
        <v>13106.122448979604</v>
      </c>
      <c r="AP74" s="448">
        <f t="shared" si="106"/>
        <v>13206.938775510216</v>
      </c>
      <c r="AQ74" s="448">
        <f t="shared" si="106"/>
        <v>13307.75510204083</v>
      </c>
      <c r="AR74" s="448">
        <f t="shared" si="106"/>
        <v>13408.571428571442</v>
      </c>
    </row>
    <row r="75" spans="1:44" ht="15" x14ac:dyDescent="0.25">
      <c r="A75" s="2"/>
      <c r="B75" s="380" t="s">
        <v>288</v>
      </c>
      <c r="C75" s="181" t="s">
        <v>86</v>
      </c>
      <c r="D75" s="440">
        <f>SUM(F75:AR75)</f>
        <v>10803114.612244904</v>
      </c>
      <c r="E75" s="380"/>
      <c r="F75" s="417">
        <f>SUM(F73:F74)</f>
        <v>230835.78231292515</v>
      </c>
      <c r="G75" s="417">
        <f t="shared" ref="G75:AR75" si="107">SUM(G73:G74)</f>
        <v>233265.63265306121</v>
      </c>
      <c r="H75" s="417">
        <f t="shared" si="107"/>
        <v>235695.48299319725</v>
      </c>
      <c r="I75" s="417">
        <f t="shared" si="107"/>
        <v>238125.33333333331</v>
      </c>
      <c r="J75" s="417">
        <f t="shared" si="107"/>
        <v>240555.18367346938</v>
      </c>
      <c r="K75" s="417">
        <f t="shared" si="107"/>
        <v>242985.03401360547</v>
      </c>
      <c r="L75" s="417">
        <f t="shared" si="107"/>
        <v>245414.88435374154</v>
      </c>
      <c r="M75" s="417">
        <f t="shared" si="107"/>
        <v>247844.7346938776</v>
      </c>
      <c r="N75" s="417">
        <f t="shared" si="107"/>
        <v>250274.58503401367</v>
      </c>
      <c r="O75" s="417">
        <f t="shared" si="107"/>
        <v>252704.4353741497</v>
      </c>
      <c r="P75" s="417">
        <f t="shared" si="107"/>
        <v>255134.28571428577</v>
      </c>
      <c r="Q75" s="417">
        <f t="shared" si="107"/>
        <v>257564.13605442186</v>
      </c>
      <c r="R75" s="417">
        <f t="shared" si="107"/>
        <v>259993.9863945579</v>
      </c>
      <c r="S75" s="417">
        <f t="shared" si="107"/>
        <v>262423.83673469402</v>
      </c>
      <c r="T75" s="417">
        <f t="shared" si="107"/>
        <v>264853.68707483</v>
      </c>
      <c r="U75" s="417">
        <f t="shared" si="107"/>
        <v>267283.53741496609</v>
      </c>
      <c r="V75" s="417">
        <f t="shared" si="107"/>
        <v>269713.38775510213</v>
      </c>
      <c r="W75" s="417">
        <f t="shared" si="107"/>
        <v>272143.23809523822</v>
      </c>
      <c r="X75" s="417">
        <f t="shared" si="107"/>
        <v>274573.08843537426</v>
      </c>
      <c r="Y75" s="417">
        <f t="shared" si="107"/>
        <v>277002.93877551035</v>
      </c>
      <c r="Z75" s="417">
        <f t="shared" si="107"/>
        <v>279432.78911564639</v>
      </c>
      <c r="AA75" s="417">
        <f t="shared" si="107"/>
        <v>281862.63945578248</v>
      </c>
      <c r="AB75" s="417">
        <f t="shared" si="107"/>
        <v>284292.48979591852</v>
      </c>
      <c r="AC75" s="417">
        <f t="shared" si="107"/>
        <v>286722.34013605461</v>
      </c>
      <c r="AD75" s="417">
        <f t="shared" si="107"/>
        <v>289152.19047619059</v>
      </c>
      <c r="AE75" s="417">
        <f t="shared" si="107"/>
        <v>291582.04081632674</v>
      </c>
      <c r="AF75" s="417">
        <f t="shared" si="107"/>
        <v>294011.89115646278</v>
      </c>
      <c r="AG75" s="417">
        <f t="shared" si="107"/>
        <v>296441.74149659881</v>
      </c>
      <c r="AH75" s="417">
        <f t="shared" si="107"/>
        <v>298871.59183673491</v>
      </c>
      <c r="AI75" s="417">
        <f t="shared" si="107"/>
        <v>301301.44217687094</v>
      </c>
      <c r="AJ75" s="417">
        <f t="shared" si="107"/>
        <v>303731.2925170071</v>
      </c>
      <c r="AK75" s="417">
        <f t="shared" si="107"/>
        <v>306161.14285714313</v>
      </c>
      <c r="AL75" s="417">
        <f t="shared" si="107"/>
        <v>308590.99319727917</v>
      </c>
      <c r="AM75" s="417">
        <f t="shared" si="107"/>
        <v>311020.84353741526</v>
      </c>
      <c r="AN75" s="417">
        <f t="shared" si="107"/>
        <v>313450.6938775513</v>
      </c>
      <c r="AO75" s="417">
        <f t="shared" si="107"/>
        <v>315880.54421768733</v>
      </c>
      <c r="AP75" s="417">
        <f t="shared" si="107"/>
        <v>318310.39455782343</v>
      </c>
      <c r="AQ75" s="417">
        <f t="shared" si="107"/>
        <v>320740.24489795946</v>
      </c>
      <c r="AR75" s="417">
        <f t="shared" si="107"/>
        <v>323170.09523809556</v>
      </c>
    </row>
    <row r="76" spans="1:44" ht="15" x14ac:dyDescent="0.25">
      <c r="A76" s="2"/>
      <c r="B76" s="380"/>
      <c r="C76" s="181"/>
      <c r="D76" s="440"/>
      <c r="E76" s="380"/>
      <c r="F76" s="417"/>
      <c r="G76" s="417"/>
      <c r="H76" s="417"/>
      <c r="I76" s="417"/>
      <c r="J76" s="417"/>
      <c r="K76" s="417"/>
      <c r="L76" s="417"/>
      <c r="M76" s="417"/>
      <c r="N76" s="417"/>
      <c r="O76" s="417"/>
      <c r="P76" s="417"/>
      <c r="Q76" s="417"/>
      <c r="R76" s="417"/>
      <c r="S76" s="417"/>
      <c r="T76" s="417"/>
      <c r="U76" s="417"/>
      <c r="V76" s="417"/>
      <c r="W76" s="417"/>
      <c r="X76" s="417"/>
      <c r="Y76" s="417"/>
      <c r="Z76" s="417"/>
      <c r="AA76" s="417"/>
      <c r="AB76" s="417"/>
      <c r="AC76" s="417"/>
      <c r="AD76" s="417"/>
      <c r="AE76" s="417"/>
      <c r="AF76" s="417"/>
      <c r="AG76" s="417"/>
      <c r="AH76" s="417"/>
      <c r="AI76" s="417"/>
      <c r="AJ76" s="417"/>
      <c r="AK76" s="417"/>
      <c r="AL76" s="417"/>
      <c r="AM76" s="417"/>
      <c r="AN76" s="417"/>
      <c r="AO76" s="417"/>
      <c r="AP76" s="417"/>
      <c r="AQ76" s="417"/>
      <c r="AR76" s="417"/>
    </row>
    <row r="77" spans="1:44" s="4" customFormat="1" x14ac:dyDescent="0.2">
      <c r="A77" s="449" t="s">
        <v>296</v>
      </c>
      <c r="B77" s="449"/>
      <c r="C77" s="182"/>
      <c r="D77" s="450"/>
      <c r="E77" s="450"/>
      <c r="F77" s="450"/>
      <c r="G77" s="450"/>
      <c r="H77" s="450"/>
      <c r="I77" s="450"/>
      <c r="J77" s="450"/>
      <c r="K77" s="450"/>
      <c r="L77" s="450"/>
      <c r="M77" s="450"/>
      <c r="N77" s="450"/>
      <c r="O77" s="450"/>
      <c r="P77" s="450"/>
      <c r="Q77" s="450"/>
      <c r="R77" s="450"/>
      <c r="S77" s="450"/>
      <c r="T77" s="450"/>
      <c r="U77" s="450"/>
      <c r="V77" s="450"/>
      <c r="W77" s="450"/>
      <c r="X77" s="450"/>
      <c r="Y77" s="450"/>
      <c r="Z77" s="450"/>
      <c r="AA77" s="450"/>
      <c r="AB77" s="450"/>
      <c r="AC77" s="450"/>
      <c r="AD77" s="450"/>
      <c r="AE77" s="450"/>
      <c r="AF77" s="450"/>
      <c r="AG77" s="450"/>
      <c r="AH77" s="450"/>
      <c r="AI77" s="450"/>
      <c r="AJ77" s="450"/>
      <c r="AK77" s="450"/>
      <c r="AL77" s="450"/>
      <c r="AM77" s="450"/>
      <c r="AN77" s="450"/>
      <c r="AO77" s="450"/>
      <c r="AP77" s="450"/>
      <c r="AQ77" s="450"/>
      <c r="AR77" s="450"/>
    </row>
    <row r="78" spans="1:44" ht="15" x14ac:dyDescent="0.25">
      <c r="A78" s="2" t="s">
        <v>297</v>
      </c>
      <c r="B78" s="380"/>
      <c r="C78" s="10"/>
      <c r="D78" s="380"/>
      <c r="E78" s="380"/>
      <c r="F78" s="417"/>
      <c r="G78" s="417"/>
      <c r="H78" s="417"/>
      <c r="I78" s="417"/>
      <c r="J78" s="417"/>
      <c r="K78" s="417"/>
      <c r="L78" s="417"/>
      <c r="M78" s="417"/>
      <c r="N78" s="417"/>
      <c r="O78" s="417"/>
      <c r="P78" s="417"/>
      <c r="Q78" s="417"/>
      <c r="R78" s="417"/>
      <c r="S78" s="417"/>
      <c r="T78" s="417"/>
      <c r="U78" s="417"/>
      <c r="V78" s="417"/>
      <c r="W78" s="417"/>
      <c r="X78" s="417"/>
      <c r="Y78" s="417"/>
      <c r="Z78" s="417"/>
      <c r="AA78" s="417"/>
      <c r="AB78" s="417"/>
      <c r="AC78" s="417"/>
      <c r="AD78" s="417"/>
      <c r="AE78" s="417"/>
      <c r="AF78" s="417"/>
      <c r="AG78" s="417"/>
      <c r="AH78" s="417"/>
      <c r="AI78" s="417"/>
      <c r="AJ78" s="417"/>
      <c r="AK78" s="417"/>
      <c r="AL78" s="417"/>
      <c r="AM78" s="417"/>
      <c r="AN78" s="417"/>
      <c r="AO78" s="417"/>
      <c r="AP78" s="417"/>
      <c r="AQ78" s="417"/>
      <c r="AR78" s="417"/>
    </row>
    <row r="79" spans="1:44" x14ac:dyDescent="0.2">
      <c r="A79" s="380"/>
      <c r="B79" s="380" t="s">
        <v>252</v>
      </c>
      <c r="C79" s="181" t="s">
        <v>86</v>
      </c>
      <c r="D79" s="440">
        <f>SUM(F79:AR79)</f>
        <v>5091471.0204081647</v>
      </c>
      <c r="E79" s="380"/>
      <c r="F79" s="417">
        <f t="shared" ref="F79:AR79" si="108">F$11*F15*(F$48-F$75)</f>
        <v>0</v>
      </c>
      <c r="G79" s="417">
        <f t="shared" si="108"/>
        <v>0</v>
      </c>
      <c r="H79" s="417">
        <f t="shared" si="108"/>
        <v>0</v>
      </c>
      <c r="I79" s="417">
        <f t="shared" si="108"/>
        <v>0</v>
      </c>
      <c r="J79" s="417">
        <f t="shared" si="108"/>
        <v>0</v>
      </c>
      <c r="K79" s="417">
        <f t="shared" si="108"/>
        <v>0</v>
      </c>
      <c r="L79" s="417">
        <f t="shared" si="108"/>
        <v>0</v>
      </c>
      <c r="M79" s="417">
        <f t="shared" si="108"/>
        <v>0</v>
      </c>
      <c r="N79" s="417">
        <f t="shared" si="108"/>
        <v>0</v>
      </c>
      <c r="O79" s="417">
        <f t="shared" si="108"/>
        <v>233265.6326530613</v>
      </c>
      <c r="P79" s="417">
        <f t="shared" si="108"/>
        <v>235508.57142857145</v>
      </c>
      <c r="Q79" s="417">
        <f t="shared" si="108"/>
        <v>237751.51020408163</v>
      </c>
      <c r="R79" s="417">
        <f t="shared" si="108"/>
        <v>239994.44897959186</v>
      </c>
      <c r="S79" s="417">
        <f t="shared" si="108"/>
        <v>242237.38775510207</v>
      </c>
      <c r="T79" s="417">
        <f t="shared" si="108"/>
        <v>244480.32653061236</v>
      </c>
      <c r="U79" s="417">
        <f t="shared" si="108"/>
        <v>246723.26530612254</v>
      </c>
      <c r="V79" s="417">
        <f t="shared" si="108"/>
        <v>248966.20408163278</v>
      </c>
      <c r="W79" s="417">
        <f t="shared" si="108"/>
        <v>251209.14285714296</v>
      </c>
      <c r="X79" s="417">
        <f t="shared" si="108"/>
        <v>253452.08163265319</v>
      </c>
      <c r="Y79" s="417">
        <f t="shared" si="108"/>
        <v>255695.02040816337</v>
      </c>
      <c r="Z79" s="417">
        <f t="shared" si="108"/>
        <v>257937.95918367372</v>
      </c>
      <c r="AA79" s="417">
        <f t="shared" si="108"/>
        <v>260180.89795918379</v>
      </c>
      <c r="AB79" s="417">
        <f t="shared" si="108"/>
        <v>262423.83673469402</v>
      </c>
      <c r="AC79" s="417">
        <f t="shared" si="108"/>
        <v>264666.7755102042</v>
      </c>
      <c r="AD79" s="417">
        <f t="shared" si="108"/>
        <v>266909.71428571449</v>
      </c>
      <c r="AE79" s="417">
        <f t="shared" si="108"/>
        <v>269152.65306122461</v>
      </c>
      <c r="AF79" s="417">
        <f t="shared" si="108"/>
        <v>271395.59183673485</v>
      </c>
      <c r="AG79" s="417">
        <f t="shared" si="108"/>
        <v>273638.5306122452</v>
      </c>
      <c r="AH79" s="417">
        <f t="shared" si="108"/>
        <v>275881.46938775526</v>
      </c>
      <c r="AI79" s="417">
        <f t="shared" si="108"/>
        <v>0</v>
      </c>
      <c r="AJ79" s="417">
        <f t="shared" si="108"/>
        <v>0</v>
      </c>
      <c r="AK79" s="417">
        <f t="shared" si="108"/>
        <v>0</v>
      </c>
      <c r="AL79" s="417">
        <f t="shared" si="108"/>
        <v>0</v>
      </c>
      <c r="AM79" s="417">
        <f t="shared" si="108"/>
        <v>0</v>
      </c>
      <c r="AN79" s="417">
        <f t="shared" si="108"/>
        <v>0</v>
      </c>
      <c r="AO79" s="417">
        <f t="shared" si="108"/>
        <v>0</v>
      </c>
      <c r="AP79" s="417">
        <f t="shared" si="108"/>
        <v>0</v>
      </c>
      <c r="AQ79" s="417">
        <f t="shared" si="108"/>
        <v>0</v>
      </c>
      <c r="AR79" s="417">
        <f t="shared" si="108"/>
        <v>0</v>
      </c>
    </row>
    <row r="80" spans="1:44" x14ac:dyDescent="0.2">
      <c r="A80" s="380"/>
      <c r="B80" s="380" t="str">
        <f>Inputs!$C$30</f>
        <v>2% Discount Factor</v>
      </c>
      <c r="C80" s="181" t="s">
        <v>86</v>
      </c>
      <c r="D80" s="440">
        <f>SUM(F80:AR80)</f>
        <v>3899854.8260711585</v>
      </c>
      <c r="E80" s="380"/>
      <c r="F80" s="417">
        <f t="shared" ref="F80:AR80" si="109">F$11*F16*(F$48-F$75)</f>
        <v>0</v>
      </c>
      <c r="G80" s="417">
        <f t="shared" si="109"/>
        <v>0</v>
      </c>
      <c r="H80" s="417">
        <f t="shared" si="109"/>
        <v>0</v>
      </c>
      <c r="I80" s="417">
        <f t="shared" si="109"/>
        <v>0</v>
      </c>
      <c r="J80" s="417">
        <f t="shared" si="109"/>
        <v>0</v>
      </c>
      <c r="K80" s="417">
        <f t="shared" si="109"/>
        <v>0</v>
      </c>
      <c r="L80" s="417">
        <f t="shared" si="109"/>
        <v>0</v>
      </c>
      <c r="M80" s="417">
        <f t="shared" si="109"/>
        <v>0</v>
      </c>
      <c r="N80" s="417">
        <f t="shared" si="109"/>
        <v>0</v>
      </c>
      <c r="O80" s="417">
        <f t="shared" si="109"/>
        <v>215501.38777571177</v>
      </c>
      <c r="P80" s="417">
        <f t="shared" si="109"/>
        <v>213307.36912188662</v>
      </c>
      <c r="Q80" s="417">
        <f t="shared" si="109"/>
        <v>211116.53713277288</v>
      </c>
      <c r="R80" s="417">
        <f t="shared" si="109"/>
        <v>208929.61037002134</v>
      </c>
      <c r="S80" s="417">
        <f t="shared" si="109"/>
        <v>206747.27799122507</v>
      </c>
      <c r="T80" s="417">
        <f t="shared" si="109"/>
        <v>204570.20062675691</v>
      </c>
      <c r="U80" s="417">
        <f t="shared" si="109"/>
        <v>202399.01123352454</v>
      </c>
      <c r="V80" s="417">
        <f t="shared" si="109"/>
        <v>200234.31592621416</v>
      </c>
      <c r="W80" s="417">
        <f t="shared" si="109"/>
        <v>198076.69478657463</v>
      </c>
      <c r="X80" s="417">
        <f t="shared" si="109"/>
        <v>195926.70265128624</v>
      </c>
      <c r="Y80" s="417">
        <f t="shared" si="109"/>
        <v>193784.86987893999</v>
      </c>
      <c r="Z80" s="417">
        <f t="shared" si="109"/>
        <v>191651.70309664702</v>
      </c>
      <c r="AA80" s="417">
        <f t="shared" si="109"/>
        <v>189527.68592677783</v>
      </c>
      <c r="AB80" s="417">
        <f t="shared" si="109"/>
        <v>187413.27969432902</v>
      </c>
      <c r="AC80" s="417">
        <f t="shared" si="109"/>
        <v>185308.92411539151</v>
      </c>
      <c r="AD80" s="417">
        <f t="shared" si="109"/>
        <v>183215.03796719506</v>
      </c>
      <c r="AE80" s="417">
        <f t="shared" si="109"/>
        <v>181132.01974018291</v>
      </c>
      <c r="AF80" s="417">
        <f t="shared" si="109"/>
        <v>179060.24827256644</v>
      </c>
      <c r="AG80" s="417">
        <f t="shared" si="109"/>
        <v>177000.08336779385</v>
      </c>
      <c r="AH80" s="417">
        <f t="shared" si="109"/>
        <v>174951.8663953603</v>
      </c>
      <c r="AI80" s="417">
        <f t="shared" si="109"/>
        <v>0</v>
      </c>
      <c r="AJ80" s="417">
        <f t="shared" si="109"/>
        <v>0</v>
      </c>
      <c r="AK80" s="417">
        <f t="shared" si="109"/>
        <v>0</v>
      </c>
      <c r="AL80" s="417">
        <f t="shared" si="109"/>
        <v>0</v>
      </c>
      <c r="AM80" s="417">
        <f t="shared" si="109"/>
        <v>0</v>
      </c>
      <c r="AN80" s="417">
        <f t="shared" si="109"/>
        <v>0</v>
      </c>
      <c r="AO80" s="417">
        <f t="shared" si="109"/>
        <v>0</v>
      </c>
      <c r="AP80" s="417">
        <f t="shared" si="109"/>
        <v>0</v>
      </c>
      <c r="AQ80" s="417">
        <f t="shared" si="109"/>
        <v>0</v>
      </c>
      <c r="AR80" s="417">
        <f t="shared" si="109"/>
        <v>0</v>
      </c>
    </row>
    <row r="81" spans="2:44" x14ac:dyDescent="0.2">
      <c r="B81" s="380" t="str">
        <f>Inputs!$C$31</f>
        <v>3.1% Discount Factor</v>
      </c>
      <c r="C81" s="181" t="s">
        <v>86</v>
      </c>
      <c r="D81" s="440">
        <f>SUM(F81:AR81)</f>
        <v>3393770.3130161585</v>
      </c>
      <c r="E81" s="380"/>
      <c r="F81" s="417">
        <f t="shared" ref="F81:AR81" si="110">F$11*F17*(F$48-F$75)</f>
        <v>0</v>
      </c>
      <c r="G81" s="417">
        <f t="shared" si="110"/>
        <v>0</v>
      </c>
      <c r="H81" s="417">
        <f t="shared" si="110"/>
        <v>0</v>
      </c>
      <c r="I81" s="417">
        <f t="shared" si="110"/>
        <v>0</v>
      </c>
      <c r="J81" s="417">
        <f t="shared" si="110"/>
        <v>0</v>
      </c>
      <c r="K81" s="417">
        <f t="shared" si="110"/>
        <v>0</v>
      </c>
      <c r="L81" s="417">
        <f t="shared" si="110"/>
        <v>0</v>
      </c>
      <c r="M81" s="417">
        <f t="shared" si="110"/>
        <v>0</v>
      </c>
      <c r="N81" s="417">
        <f t="shared" si="110"/>
        <v>0</v>
      </c>
      <c r="O81" s="417">
        <f t="shared" si="110"/>
        <v>206450.57517687674</v>
      </c>
      <c r="P81" s="417">
        <f t="shared" si="110"/>
        <v>202168.45476359822</v>
      </c>
      <c r="Q81" s="417">
        <f t="shared" si="110"/>
        <v>197957.19555624598</v>
      </c>
      <c r="R81" s="417">
        <f t="shared" si="110"/>
        <v>193816.40763243532</v>
      </c>
      <c r="S81" s="417">
        <f t="shared" si="110"/>
        <v>189745.66045399182</v>
      </c>
      <c r="T81" s="417">
        <f t="shared" si="110"/>
        <v>185744.4856619348</v>
      </c>
      <c r="U81" s="417">
        <f t="shared" si="110"/>
        <v>181812.37974010117</v>
      </c>
      <c r="V81" s="417">
        <f t="shared" si="110"/>
        <v>177948.80655278399</v>
      </c>
      <c r="W81" s="417">
        <f t="shared" si="110"/>
        <v>174153.19976155227</v>
      </c>
      <c r="X81" s="417">
        <f t="shared" si="110"/>
        <v>170424.96512622465</v>
      </c>
      <c r="Y81" s="417">
        <f t="shared" si="110"/>
        <v>166763.48269477705</v>
      </c>
      <c r="Z81" s="417">
        <f t="shared" si="110"/>
        <v>163168.10888678487</v>
      </c>
      <c r="AA81" s="417">
        <f t="shared" si="110"/>
        <v>159638.17847481999</v>
      </c>
      <c r="AB81" s="417">
        <f t="shared" si="110"/>
        <v>156173.00646805862</v>
      </c>
      <c r="AC81" s="417">
        <f t="shared" si="110"/>
        <v>152771.88990218542</v>
      </c>
      <c r="AD81" s="417">
        <f t="shared" si="110"/>
        <v>149434.10953952943</v>
      </c>
      <c r="AE81" s="417">
        <f t="shared" si="110"/>
        <v>146158.9314832098</v>
      </c>
      <c r="AF81" s="417">
        <f t="shared" si="110"/>
        <v>142945.60870892651</v>
      </c>
      <c r="AG81" s="417">
        <f t="shared" si="110"/>
        <v>139793.38251788801</v>
      </c>
      <c r="AH81" s="417">
        <f t="shared" si="110"/>
        <v>136701.48391423427</v>
      </c>
      <c r="AI81" s="417">
        <f t="shared" si="110"/>
        <v>0</v>
      </c>
      <c r="AJ81" s="417">
        <f t="shared" si="110"/>
        <v>0</v>
      </c>
      <c r="AK81" s="417">
        <f t="shared" si="110"/>
        <v>0</v>
      </c>
      <c r="AL81" s="417">
        <f t="shared" si="110"/>
        <v>0</v>
      </c>
      <c r="AM81" s="417">
        <f t="shared" si="110"/>
        <v>0</v>
      </c>
      <c r="AN81" s="417">
        <f t="shared" si="110"/>
        <v>0</v>
      </c>
      <c r="AO81" s="417">
        <f t="shared" si="110"/>
        <v>0</v>
      </c>
      <c r="AP81" s="417">
        <f t="shared" si="110"/>
        <v>0</v>
      </c>
      <c r="AQ81" s="417">
        <f t="shared" si="110"/>
        <v>0</v>
      </c>
      <c r="AR81" s="417">
        <f t="shared" si="110"/>
        <v>0</v>
      </c>
    </row>
    <row r="82" spans="2:44" x14ac:dyDescent="0.2">
      <c r="B82" s="380"/>
      <c r="C82" s="181"/>
      <c r="D82" s="440"/>
      <c r="E82" s="380"/>
      <c r="F82" s="417"/>
      <c r="G82" s="417"/>
      <c r="H82" s="417"/>
      <c r="I82" s="417"/>
      <c r="J82" s="417"/>
      <c r="K82" s="417"/>
      <c r="L82" s="417"/>
      <c r="M82" s="417"/>
      <c r="N82" s="417"/>
      <c r="O82" s="417"/>
      <c r="P82" s="417"/>
      <c r="Q82" s="417"/>
      <c r="R82" s="417"/>
      <c r="S82" s="417"/>
      <c r="T82" s="417"/>
      <c r="U82" s="417"/>
      <c r="V82" s="417"/>
      <c r="W82" s="417"/>
      <c r="X82" s="417"/>
      <c r="Y82" s="417"/>
      <c r="Z82" s="417"/>
      <c r="AA82" s="417"/>
      <c r="AB82" s="417"/>
      <c r="AC82" s="417"/>
      <c r="AD82" s="417"/>
      <c r="AE82" s="417"/>
      <c r="AF82" s="417"/>
      <c r="AG82" s="417"/>
      <c r="AH82" s="417"/>
      <c r="AI82" s="417"/>
      <c r="AJ82" s="417"/>
      <c r="AK82" s="417"/>
      <c r="AL82" s="417"/>
      <c r="AM82" s="417"/>
      <c r="AN82" s="417"/>
      <c r="AO82" s="417"/>
      <c r="AP82" s="417"/>
      <c r="AQ82" s="417"/>
      <c r="AR82" s="417"/>
    </row>
  </sheetData>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F4CD0-86FA-43CD-AE33-31957FAF9407}">
  <sheetPr>
    <tabColor theme="9"/>
  </sheetPr>
  <dimension ref="A1:AS108"/>
  <sheetViews>
    <sheetView workbookViewId="0">
      <pane xSplit="4" ySplit="11" topLeftCell="E85" activePane="bottomRight" state="frozen"/>
      <selection pane="topRight" activeCell="E1" sqref="E1"/>
      <selection pane="bottomLeft" activeCell="A12" sqref="A12"/>
      <selection pane="bottomRight" activeCell="D73" sqref="D73"/>
    </sheetView>
  </sheetViews>
  <sheetFormatPr defaultColWidth="0" defaultRowHeight="14.25" x14ac:dyDescent="0.2"/>
  <cols>
    <col min="1" max="1" width="10.5703125" style="1" customWidth="1"/>
    <col min="2" max="2" width="32.5703125" style="1" bestFit="1" customWidth="1"/>
    <col min="3" max="3" width="22.28515625" style="1" bestFit="1" customWidth="1"/>
    <col min="4" max="4" width="15.140625" style="1" bestFit="1" customWidth="1"/>
    <col min="5" max="5" width="1.5703125" style="1" customWidth="1"/>
    <col min="6" max="44" width="14.42578125" style="1" customWidth="1"/>
    <col min="45" max="45" width="9.140625" style="1" customWidth="1"/>
    <col min="46" max="16384" width="9.140625" style="1" hidden="1"/>
  </cols>
  <sheetData>
    <row r="1" spans="1:44" ht="19.5" x14ac:dyDescent="0.3">
      <c r="A1" s="3" t="str">
        <f>Summary!$A$1</f>
        <v>Multimodal Improvements to Safely Connect Tulsa at US-75 and 81st Street Interchange</v>
      </c>
      <c r="B1" s="380"/>
      <c r="C1" s="380"/>
      <c r="D1" s="380"/>
      <c r="E1" s="380"/>
      <c r="F1" s="380"/>
      <c r="G1" s="380"/>
      <c r="H1" s="380"/>
      <c r="I1" s="380"/>
      <c r="J1" s="380"/>
      <c r="K1" s="380"/>
      <c r="L1" s="380"/>
      <c r="M1" s="380"/>
      <c r="N1" s="380"/>
      <c r="O1" s="380"/>
      <c r="P1" s="380"/>
      <c r="Q1" s="380"/>
      <c r="R1" s="380"/>
      <c r="S1" s="380"/>
      <c r="T1" s="380"/>
      <c r="U1" s="380"/>
      <c r="V1" s="380"/>
      <c r="W1" s="380"/>
      <c r="X1" s="380"/>
      <c r="Y1" s="380"/>
      <c r="Z1" s="380"/>
      <c r="AA1" s="380"/>
      <c r="AB1" s="380"/>
      <c r="AC1" s="380"/>
      <c r="AD1" s="380"/>
      <c r="AE1" s="380"/>
      <c r="AF1" s="380"/>
      <c r="AG1" s="380"/>
      <c r="AH1" s="380"/>
      <c r="AI1" s="380"/>
      <c r="AJ1" s="380"/>
      <c r="AK1" s="380"/>
      <c r="AL1" s="380"/>
      <c r="AM1" s="380"/>
      <c r="AN1" s="380"/>
      <c r="AO1" s="380"/>
      <c r="AP1" s="380"/>
      <c r="AQ1" s="380"/>
      <c r="AR1" s="380"/>
    </row>
    <row r="2" spans="1:44" ht="19.5" x14ac:dyDescent="0.3">
      <c r="A2" s="3" t="s">
        <v>298</v>
      </c>
      <c r="B2" s="380"/>
      <c r="C2" s="7"/>
      <c r="D2" s="380"/>
      <c r="E2" s="380"/>
      <c r="F2" s="380"/>
      <c r="G2" s="380"/>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row>
    <row r="3" spans="1:44" x14ac:dyDescent="0.2">
      <c r="A3" s="381">
        <f ca="1">Summary!A3</f>
        <v>45687</v>
      </c>
      <c r="B3" s="380"/>
      <c r="C3" s="358" t="s">
        <v>259</v>
      </c>
      <c r="D3" s="359">
        <f>Summary!$E$9</f>
        <v>1.8138898580989069</v>
      </c>
      <c r="E3" s="380"/>
      <c r="F3" s="380"/>
      <c r="G3" s="380"/>
      <c r="H3" s="380"/>
      <c r="I3" s="380"/>
      <c r="J3" s="380"/>
      <c r="K3" s="380"/>
      <c r="L3" s="380"/>
      <c r="M3" s="380"/>
      <c r="N3" s="380"/>
      <c r="O3" s="380"/>
      <c r="P3" s="380"/>
      <c r="Q3" s="380"/>
      <c r="R3" s="380"/>
      <c r="S3" s="380"/>
      <c r="T3" s="380"/>
      <c r="U3" s="380"/>
      <c r="V3" s="380"/>
      <c r="W3" s="380"/>
      <c r="X3" s="380"/>
      <c r="Y3" s="380"/>
      <c r="Z3" s="380"/>
      <c r="AA3" s="380"/>
      <c r="AB3" s="380"/>
      <c r="AC3" s="380"/>
      <c r="AD3" s="380"/>
      <c r="AE3" s="380"/>
      <c r="AF3" s="380"/>
      <c r="AG3" s="380"/>
      <c r="AH3" s="380"/>
      <c r="AI3" s="380"/>
      <c r="AJ3" s="380"/>
      <c r="AK3" s="380"/>
      <c r="AL3" s="380"/>
      <c r="AM3" s="380"/>
      <c r="AN3" s="380"/>
      <c r="AO3" s="380"/>
      <c r="AP3" s="380"/>
      <c r="AQ3" s="380"/>
      <c r="AR3" s="380"/>
    </row>
    <row r="4" spans="1:44" x14ac:dyDescent="0.2">
      <c r="A4" s="33" t="str">
        <f>Summary!A4</f>
        <v>All $ values 2023, unless otherwise noted</v>
      </c>
      <c r="B4" s="380"/>
      <c r="C4" s="7"/>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c r="AM4" s="380"/>
      <c r="AN4" s="380"/>
      <c r="AO4" s="380"/>
      <c r="AP4" s="380"/>
      <c r="AQ4" s="380"/>
      <c r="AR4" s="380"/>
    </row>
    <row r="5" spans="1:44" x14ac:dyDescent="0.2">
      <c r="A5" s="380"/>
      <c r="B5" s="382"/>
      <c r="C5" s="7"/>
      <c r="D5" s="380"/>
      <c r="E5" s="380"/>
      <c r="F5" s="380"/>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0"/>
      <c r="AO5" s="380"/>
      <c r="AP5" s="380"/>
      <c r="AQ5" s="380"/>
      <c r="AR5" s="380"/>
    </row>
    <row r="6" spans="1:44" x14ac:dyDescent="0.2">
      <c r="A6" s="380"/>
      <c r="B6" s="380"/>
      <c r="C6" s="380" t="s">
        <v>48</v>
      </c>
      <c r="D6" s="380" t="s">
        <v>49</v>
      </c>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row>
    <row r="7" spans="1:44" s="4" customFormat="1" x14ac:dyDescent="0.2">
      <c r="A7" s="450" t="s">
        <v>235</v>
      </c>
      <c r="B7" s="450"/>
      <c r="C7" s="182" t="s">
        <v>235</v>
      </c>
      <c r="D7" s="450"/>
      <c r="E7" s="450"/>
      <c r="F7" s="450">
        <f>Inputs!$E$12</f>
        <v>2018</v>
      </c>
      <c r="G7" s="450">
        <f>F7+1</f>
        <v>2019</v>
      </c>
      <c r="H7" s="450">
        <f t="shared" ref="H7:W8" si="0">G7+1</f>
        <v>2020</v>
      </c>
      <c r="I7" s="450">
        <f t="shared" si="0"/>
        <v>2021</v>
      </c>
      <c r="J7" s="450">
        <f t="shared" si="0"/>
        <v>2022</v>
      </c>
      <c r="K7" s="450">
        <f t="shared" si="0"/>
        <v>2023</v>
      </c>
      <c r="L7" s="450">
        <f t="shared" si="0"/>
        <v>2024</v>
      </c>
      <c r="M7" s="450">
        <f t="shared" si="0"/>
        <v>2025</v>
      </c>
      <c r="N7" s="450">
        <f t="shared" si="0"/>
        <v>2026</v>
      </c>
      <c r="O7" s="450">
        <f t="shared" si="0"/>
        <v>2027</v>
      </c>
      <c r="P7" s="450">
        <f t="shared" si="0"/>
        <v>2028</v>
      </c>
      <c r="Q7" s="450">
        <f t="shared" si="0"/>
        <v>2029</v>
      </c>
      <c r="R7" s="450">
        <f t="shared" si="0"/>
        <v>2030</v>
      </c>
      <c r="S7" s="450">
        <f t="shared" si="0"/>
        <v>2031</v>
      </c>
      <c r="T7" s="450">
        <f t="shared" si="0"/>
        <v>2032</v>
      </c>
      <c r="U7" s="450">
        <f t="shared" si="0"/>
        <v>2033</v>
      </c>
      <c r="V7" s="450">
        <f t="shared" si="0"/>
        <v>2034</v>
      </c>
      <c r="W7" s="450">
        <f t="shared" si="0"/>
        <v>2035</v>
      </c>
      <c r="X7" s="450">
        <f t="shared" ref="X7:AM8" si="1">W7+1</f>
        <v>2036</v>
      </c>
      <c r="Y7" s="450">
        <f t="shared" si="1"/>
        <v>2037</v>
      </c>
      <c r="Z7" s="450">
        <f t="shared" si="1"/>
        <v>2038</v>
      </c>
      <c r="AA7" s="450">
        <f t="shared" si="1"/>
        <v>2039</v>
      </c>
      <c r="AB7" s="450">
        <f t="shared" si="1"/>
        <v>2040</v>
      </c>
      <c r="AC7" s="450">
        <f t="shared" si="1"/>
        <v>2041</v>
      </c>
      <c r="AD7" s="450">
        <f t="shared" si="1"/>
        <v>2042</v>
      </c>
      <c r="AE7" s="450">
        <f t="shared" si="1"/>
        <v>2043</v>
      </c>
      <c r="AF7" s="450">
        <f t="shared" si="1"/>
        <v>2044</v>
      </c>
      <c r="AG7" s="450">
        <f t="shared" si="1"/>
        <v>2045</v>
      </c>
      <c r="AH7" s="450">
        <f t="shared" si="1"/>
        <v>2046</v>
      </c>
      <c r="AI7" s="450">
        <f t="shared" si="1"/>
        <v>2047</v>
      </c>
      <c r="AJ7" s="450">
        <f t="shared" si="1"/>
        <v>2048</v>
      </c>
      <c r="AK7" s="450">
        <f t="shared" si="1"/>
        <v>2049</v>
      </c>
      <c r="AL7" s="450">
        <f t="shared" si="1"/>
        <v>2050</v>
      </c>
      <c r="AM7" s="450">
        <f t="shared" si="1"/>
        <v>2051</v>
      </c>
      <c r="AN7" s="450">
        <f t="shared" ref="AN7:AR8" si="2">AM7+1</f>
        <v>2052</v>
      </c>
      <c r="AO7" s="450">
        <f t="shared" si="2"/>
        <v>2053</v>
      </c>
      <c r="AP7" s="450">
        <f t="shared" si="2"/>
        <v>2054</v>
      </c>
      <c r="AQ7" s="450">
        <f t="shared" si="2"/>
        <v>2055</v>
      </c>
      <c r="AR7" s="450">
        <f t="shared" si="2"/>
        <v>2056</v>
      </c>
    </row>
    <row r="8" spans="1:44" x14ac:dyDescent="0.2">
      <c r="A8" s="380"/>
      <c r="B8" s="380" t="s">
        <v>236</v>
      </c>
      <c r="C8" s="11" t="s">
        <v>54</v>
      </c>
      <c r="D8" s="380"/>
      <c r="E8" s="380"/>
      <c r="F8" s="380">
        <f>D8+1</f>
        <v>1</v>
      </c>
      <c r="G8" s="380">
        <f t="shared" ref="G8" si="3">F8+1</f>
        <v>2</v>
      </c>
      <c r="H8" s="380">
        <f t="shared" si="0"/>
        <v>3</v>
      </c>
      <c r="I8" s="380">
        <f t="shared" si="0"/>
        <v>4</v>
      </c>
      <c r="J8" s="380">
        <f t="shared" si="0"/>
        <v>5</v>
      </c>
      <c r="K8" s="380">
        <f t="shared" si="0"/>
        <v>6</v>
      </c>
      <c r="L8" s="380">
        <f t="shared" si="0"/>
        <v>7</v>
      </c>
      <c r="M8" s="380">
        <f t="shared" si="0"/>
        <v>8</v>
      </c>
      <c r="N8" s="380">
        <f t="shared" si="0"/>
        <v>9</v>
      </c>
      <c r="O8" s="380">
        <f t="shared" si="0"/>
        <v>10</v>
      </c>
      <c r="P8" s="380">
        <f t="shared" si="0"/>
        <v>11</v>
      </c>
      <c r="Q8" s="380">
        <f t="shared" si="0"/>
        <v>12</v>
      </c>
      <c r="R8" s="380">
        <f t="shared" si="0"/>
        <v>13</v>
      </c>
      <c r="S8" s="380">
        <f t="shared" si="0"/>
        <v>14</v>
      </c>
      <c r="T8" s="380">
        <f t="shared" si="0"/>
        <v>15</v>
      </c>
      <c r="U8" s="380">
        <f t="shared" si="0"/>
        <v>16</v>
      </c>
      <c r="V8" s="380">
        <f t="shared" si="0"/>
        <v>17</v>
      </c>
      <c r="W8" s="380">
        <f t="shared" si="0"/>
        <v>18</v>
      </c>
      <c r="X8" s="380">
        <f t="shared" si="1"/>
        <v>19</v>
      </c>
      <c r="Y8" s="380">
        <f t="shared" si="1"/>
        <v>20</v>
      </c>
      <c r="Z8" s="380">
        <f t="shared" si="1"/>
        <v>21</v>
      </c>
      <c r="AA8" s="380">
        <f t="shared" si="1"/>
        <v>22</v>
      </c>
      <c r="AB8" s="380">
        <f t="shared" si="1"/>
        <v>23</v>
      </c>
      <c r="AC8" s="380">
        <f t="shared" si="1"/>
        <v>24</v>
      </c>
      <c r="AD8" s="380">
        <f t="shared" si="1"/>
        <v>25</v>
      </c>
      <c r="AE8" s="380">
        <f t="shared" si="1"/>
        <v>26</v>
      </c>
      <c r="AF8" s="380">
        <f t="shared" si="1"/>
        <v>27</v>
      </c>
      <c r="AG8" s="380">
        <f t="shared" si="1"/>
        <v>28</v>
      </c>
      <c r="AH8" s="380">
        <f t="shared" si="1"/>
        <v>29</v>
      </c>
      <c r="AI8" s="380">
        <f t="shared" si="1"/>
        <v>30</v>
      </c>
      <c r="AJ8" s="380">
        <f t="shared" si="1"/>
        <v>31</v>
      </c>
      <c r="AK8" s="380">
        <f t="shared" si="1"/>
        <v>32</v>
      </c>
      <c r="AL8" s="380">
        <f t="shared" si="1"/>
        <v>33</v>
      </c>
      <c r="AM8" s="380">
        <f t="shared" si="1"/>
        <v>34</v>
      </c>
      <c r="AN8" s="380">
        <f t="shared" si="2"/>
        <v>35</v>
      </c>
      <c r="AO8" s="380">
        <f t="shared" si="2"/>
        <v>36</v>
      </c>
      <c r="AP8" s="380">
        <f t="shared" si="2"/>
        <v>37</v>
      </c>
      <c r="AQ8" s="380">
        <f t="shared" si="2"/>
        <v>38</v>
      </c>
      <c r="AR8" s="380">
        <f t="shared" si="2"/>
        <v>39</v>
      </c>
    </row>
    <row r="9" spans="1:44" x14ac:dyDescent="0.2">
      <c r="A9" s="380"/>
      <c r="B9" s="380" t="s">
        <v>237</v>
      </c>
      <c r="C9" s="11" t="s">
        <v>238</v>
      </c>
      <c r="D9" s="380"/>
      <c r="E9" s="380"/>
      <c r="F9" s="380">
        <f>IF(F7=Inputs!$E$13,1,0)</f>
        <v>0</v>
      </c>
      <c r="G9" s="380">
        <f>IF(G7=Inputs!$E$13,1,0)</f>
        <v>0</v>
      </c>
      <c r="H9" s="380">
        <f>IF(H7=Inputs!$E$13,1,0)</f>
        <v>0</v>
      </c>
      <c r="I9" s="380">
        <f>IF(I7=Inputs!$E$13,1,0)</f>
        <v>0</v>
      </c>
      <c r="J9" s="380">
        <f>IF(J7=Inputs!$E$13,1,0)</f>
        <v>0</v>
      </c>
      <c r="K9" s="380">
        <f>IF(K7=Inputs!$E$13,1,0)</f>
        <v>1</v>
      </c>
      <c r="L9" s="380">
        <f>IF(L7=Inputs!$E$13,1,0)</f>
        <v>0</v>
      </c>
      <c r="M9" s="380">
        <f>IF(M7=Inputs!$E$13,1,0)</f>
        <v>0</v>
      </c>
      <c r="N9" s="380">
        <f>IF(N7=Inputs!$E$13,1,0)</f>
        <v>0</v>
      </c>
      <c r="O9" s="380">
        <f>IF(O7=Inputs!$E$13,1,0)</f>
        <v>0</v>
      </c>
      <c r="P9" s="380">
        <f>IF(P7=Inputs!$E$13,1,0)</f>
        <v>0</v>
      </c>
      <c r="Q9" s="380">
        <f>IF(Q7=Inputs!$E$13,1,0)</f>
        <v>0</v>
      </c>
      <c r="R9" s="380">
        <f>IF(R7=Inputs!$E$13,1,0)</f>
        <v>0</v>
      </c>
      <c r="S9" s="380">
        <f>IF(S7=Inputs!$E$13,1,0)</f>
        <v>0</v>
      </c>
      <c r="T9" s="380">
        <f>IF(T7=Inputs!$E$13,1,0)</f>
        <v>0</v>
      </c>
      <c r="U9" s="380">
        <f>IF(U7=Inputs!$E$13,1,0)</f>
        <v>0</v>
      </c>
      <c r="V9" s="380">
        <f>IF(V7=Inputs!$E$13,1,0)</f>
        <v>0</v>
      </c>
      <c r="W9" s="380">
        <f>IF(W7=Inputs!$E$13,1,0)</f>
        <v>0</v>
      </c>
      <c r="X9" s="380">
        <f>IF(X7=Inputs!$E$13,1,0)</f>
        <v>0</v>
      </c>
      <c r="Y9" s="380">
        <f>IF(Y7=Inputs!$E$13,1,0)</f>
        <v>0</v>
      </c>
      <c r="Z9" s="380">
        <f>IF(Z7=Inputs!$E$13,1,0)</f>
        <v>0</v>
      </c>
      <c r="AA9" s="380">
        <f>IF(AA7=Inputs!$E$13,1,0)</f>
        <v>0</v>
      </c>
      <c r="AB9" s="380">
        <f>IF(AB7=Inputs!$E$13,1,0)</f>
        <v>0</v>
      </c>
      <c r="AC9" s="380">
        <f>IF(AC7=Inputs!$E$13,1,0)</f>
        <v>0</v>
      </c>
      <c r="AD9" s="380">
        <f>IF(AD7=Inputs!$E$13,1,0)</f>
        <v>0</v>
      </c>
      <c r="AE9" s="380">
        <f>IF(AE7=Inputs!$E$13,1,0)</f>
        <v>0</v>
      </c>
      <c r="AF9" s="380">
        <f>IF(AF7=Inputs!$E$13,1,0)</f>
        <v>0</v>
      </c>
      <c r="AG9" s="380">
        <f>IF(AG7=Inputs!$E$13,1,0)</f>
        <v>0</v>
      </c>
      <c r="AH9" s="380">
        <f>IF(AH7=Inputs!$E$13,1,0)</f>
        <v>0</v>
      </c>
      <c r="AI9" s="380">
        <f>IF(AI7=Inputs!$E$13,1,0)</f>
        <v>0</v>
      </c>
      <c r="AJ9" s="380">
        <f>IF(AJ7=Inputs!$E$13,1,0)</f>
        <v>0</v>
      </c>
      <c r="AK9" s="380">
        <f>IF(AK7=Inputs!$E$13,1,0)</f>
        <v>0</v>
      </c>
      <c r="AL9" s="380">
        <f>IF(AL7=Inputs!$E$13,1,0)</f>
        <v>0</v>
      </c>
      <c r="AM9" s="380">
        <f>IF(AM7=Inputs!$E$13,1,0)</f>
        <v>0</v>
      </c>
      <c r="AN9" s="380">
        <f>IF(AN7=Inputs!$E$13,1,0)</f>
        <v>0</v>
      </c>
      <c r="AO9" s="380">
        <f>IF(AO7=Inputs!$E$13,1,0)</f>
        <v>0</v>
      </c>
      <c r="AP9" s="380">
        <f>IF(AP7=Inputs!$E$13,1,0)</f>
        <v>0</v>
      </c>
      <c r="AQ9" s="380">
        <f>IF(AQ7=Inputs!$E$13,1,0)</f>
        <v>0</v>
      </c>
      <c r="AR9" s="380">
        <f>IF(AR7=Inputs!$E$13,1,0)</f>
        <v>0</v>
      </c>
    </row>
    <row r="10" spans="1:44" x14ac:dyDescent="0.2">
      <c r="A10" s="380"/>
      <c r="B10" s="380" t="s">
        <v>239</v>
      </c>
      <c r="C10" s="11" t="s">
        <v>61</v>
      </c>
      <c r="D10" s="380"/>
      <c r="E10" s="380"/>
      <c r="F10" s="428">
        <f>F7-Inputs!$E$13</f>
        <v>-5</v>
      </c>
      <c r="G10" s="428">
        <f>G7-Inputs!$E$13</f>
        <v>-4</v>
      </c>
      <c r="H10" s="428">
        <f>H7-Inputs!$E$13</f>
        <v>-3</v>
      </c>
      <c r="I10" s="428">
        <f>I7-Inputs!$E$13</f>
        <v>-2</v>
      </c>
      <c r="J10" s="428">
        <f>J7-Inputs!$E$13</f>
        <v>-1</v>
      </c>
      <c r="K10" s="428">
        <f>K7-Inputs!$E$13</f>
        <v>0</v>
      </c>
      <c r="L10" s="428">
        <f>L7-Inputs!$E$13</f>
        <v>1</v>
      </c>
      <c r="M10" s="428">
        <f>M7-Inputs!$E$13</f>
        <v>2</v>
      </c>
      <c r="N10" s="428">
        <f>N7-Inputs!$E$13</f>
        <v>3</v>
      </c>
      <c r="O10" s="428">
        <f>O7-Inputs!$E$13</f>
        <v>4</v>
      </c>
      <c r="P10" s="428">
        <f>P7-Inputs!$E$13</f>
        <v>5</v>
      </c>
      <c r="Q10" s="428">
        <f>Q7-Inputs!$E$13</f>
        <v>6</v>
      </c>
      <c r="R10" s="428">
        <f>R7-Inputs!$E$13</f>
        <v>7</v>
      </c>
      <c r="S10" s="428">
        <f>S7-Inputs!$E$13</f>
        <v>8</v>
      </c>
      <c r="T10" s="428">
        <f>T7-Inputs!$E$13</f>
        <v>9</v>
      </c>
      <c r="U10" s="428">
        <f>U7-Inputs!$E$13</f>
        <v>10</v>
      </c>
      <c r="V10" s="428">
        <f>V7-Inputs!$E$13</f>
        <v>11</v>
      </c>
      <c r="W10" s="428">
        <f>W7-Inputs!$E$13</f>
        <v>12</v>
      </c>
      <c r="X10" s="428">
        <f>X7-Inputs!$E$13</f>
        <v>13</v>
      </c>
      <c r="Y10" s="428">
        <f>Y7-Inputs!$E$13</f>
        <v>14</v>
      </c>
      <c r="Z10" s="428">
        <f>Z7-Inputs!$E$13</f>
        <v>15</v>
      </c>
      <c r="AA10" s="428">
        <f>AA7-Inputs!$E$13</f>
        <v>16</v>
      </c>
      <c r="AB10" s="428">
        <f>AB7-Inputs!$E$13</f>
        <v>17</v>
      </c>
      <c r="AC10" s="428">
        <f>AC7-Inputs!$E$13</f>
        <v>18</v>
      </c>
      <c r="AD10" s="428">
        <f>AD7-Inputs!$E$13</f>
        <v>19</v>
      </c>
      <c r="AE10" s="428">
        <f>AE7-Inputs!$E$13</f>
        <v>20</v>
      </c>
      <c r="AF10" s="428">
        <f>AF7-Inputs!$E$13</f>
        <v>21</v>
      </c>
      <c r="AG10" s="428">
        <f>AG7-Inputs!$E$13</f>
        <v>22</v>
      </c>
      <c r="AH10" s="428">
        <f>AH7-Inputs!$E$13</f>
        <v>23</v>
      </c>
      <c r="AI10" s="428">
        <f>AI7-Inputs!$E$13</f>
        <v>24</v>
      </c>
      <c r="AJ10" s="428">
        <f>AJ7-Inputs!$E$13</f>
        <v>25</v>
      </c>
      <c r="AK10" s="428">
        <f>AK7-Inputs!$E$13</f>
        <v>26</v>
      </c>
      <c r="AL10" s="428">
        <f>AL7-Inputs!$E$13</f>
        <v>27</v>
      </c>
      <c r="AM10" s="428">
        <f>AM7-Inputs!$E$13</f>
        <v>28</v>
      </c>
      <c r="AN10" s="428">
        <f>AN7-Inputs!$E$13</f>
        <v>29</v>
      </c>
      <c r="AO10" s="428">
        <f>AO7-Inputs!$E$13</f>
        <v>30</v>
      </c>
      <c r="AP10" s="428">
        <f>AP7-Inputs!$E$13</f>
        <v>31</v>
      </c>
      <c r="AQ10" s="428">
        <f>AQ7-Inputs!$E$13</f>
        <v>32</v>
      </c>
      <c r="AR10" s="428">
        <f>AR7-Inputs!$E$13</f>
        <v>33</v>
      </c>
    </row>
    <row r="11" spans="1:44" x14ac:dyDescent="0.2">
      <c r="A11" s="380"/>
      <c r="B11" s="380" t="s">
        <v>240</v>
      </c>
      <c r="C11" s="11" t="s">
        <v>238</v>
      </c>
      <c r="D11" s="380"/>
      <c r="E11" s="380"/>
      <c r="F11" s="380">
        <f>IF(AND(F7&gt;=Inputs!$E$17,F7&lt;Inputs!$E$26),1,0)</f>
        <v>0</v>
      </c>
      <c r="G11" s="380">
        <f>IF(AND(G7&gt;=Inputs!$E$17,G7&lt;Inputs!$E$26),1,0)</f>
        <v>0</v>
      </c>
      <c r="H11" s="380">
        <f>IF(AND(H7&gt;=Inputs!$E$17,H7&lt;Inputs!$E$26),1,0)</f>
        <v>0</v>
      </c>
      <c r="I11" s="380">
        <f>IF(AND(I7&gt;=Inputs!$E$17,I7&lt;Inputs!$E$26),1,0)</f>
        <v>0</v>
      </c>
      <c r="J11" s="380">
        <f>IF(AND(J7&gt;=Inputs!$E$17,J7&lt;Inputs!$E$26),1,0)</f>
        <v>0</v>
      </c>
      <c r="K11" s="380">
        <f>IF(AND(K7&gt;=Inputs!$E$17,K7&lt;Inputs!$E$26),1,0)</f>
        <v>0</v>
      </c>
      <c r="L11" s="380">
        <f>IF(AND(L7&gt;=Inputs!$E$17,L7&lt;Inputs!$E$26),1,0)</f>
        <v>0</v>
      </c>
      <c r="M11" s="380">
        <f>IF(AND(M7&gt;=Inputs!$E$17,M7&lt;Inputs!$E$26),1,0)</f>
        <v>0</v>
      </c>
      <c r="N11" s="380">
        <f>IF(AND(N7&gt;=Inputs!$E$17,N7&lt;Inputs!$E$26),1,0)</f>
        <v>0</v>
      </c>
      <c r="O11" s="380">
        <f>IF(AND(O7&gt;=Inputs!$E$17,O7&lt;Inputs!$E$26),1,0)</f>
        <v>1</v>
      </c>
      <c r="P11" s="380">
        <f>IF(AND(P7&gt;=Inputs!$E$17,P7&lt;Inputs!$E$26),1,0)</f>
        <v>1</v>
      </c>
      <c r="Q11" s="380">
        <f>IF(AND(Q7&gt;=Inputs!$E$17,Q7&lt;Inputs!$E$26),1,0)</f>
        <v>1</v>
      </c>
      <c r="R11" s="380">
        <f>IF(AND(R7&gt;=Inputs!$E$17,R7&lt;Inputs!$E$26),1,0)</f>
        <v>1</v>
      </c>
      <c r="S11" s="380">
        <f>IF(AND(S7&gt;=Inputs!$E$17,S7&lt;Inputs!$E$26),1,0)</f>
        <v>1</v>
      </c>
      <c r="T11" s="380">
        <f>IF(AND(T7&gt;=Inputs!$E$17,T7&lt;Inputs!$E$26),1,0)</f>
        <v>1</v>
      </c>
      <c r="U11" s="380">
        <f>IF(AND(U7&gt;=Inputs!$E$17,U7&lt;Inputs!$E$26),1,0)</f>
        <v>1</v>
      </c>
      <c r="V11" s="380">
        <f>IF(AND(V7&gt;=Inputs!$E$17,V7&lt;Inputs!$E$26),1,0)</f>
        <v>1</v>
      </c>
      <c r="W11" s="380">
        <f>IF(AND(W7&gt;=Inputs!$E$17,W7&lt;Inputs!$E$26),1,0)</f>
        <v>1</v>
      </c>
      <c r="X11" s="380">
        <f>IF(AND(X7&gt;=Inputs!$E$17,X7&lt;Inputs!$E$26),1,0)</f>
        <v>1</v>
      </c>
      <c r="Y11" s="380">
        <f>IF(AND(Y7&gt;=Inputs!$E$17,Y7&lt;Inputs!$E$26),1,0)</f>
        <v>1</v>
      </c>
      <c r="Z11" s="380">
        <f>IF(AND(Z7&gt;=Inputs!$E$17,Z7&lt;Inputs!$E$26),1,0)</f>
        <v>1</v>
      </c>
      <c r="AA11" s="380">
        <f>IF(AND(AA7&gt;=Inputs!$E$17,AA7&lt;Inputs!$E$26),1,0)</f>
        <v>1</v>
      </c>
      <c r="AB11" s="380">
        <f>IF(AND(AB7&gt;=Inputs!$E$17,AB7&lt;Inputs!$E$26),1,0)</f>
        <v>1</v>
      </c>
      <c r="AC11" s="380">
        <f>IF(AND(AC7&gt;=Inputs!$E$17,AC7&lt;Inputs!$E$26),1,0)</f>
        <v>1</v>
      </c>
      <c r="AD11" s="380">
        <f>IF(AND(AD7&gt;=Inputs!$E$17,AD7&lt;Inputs!$E$26),1,0)</f>
        <v>1</v>
      </c>
      <c r="AE11" s="380">
        <f>IF(AND(AE7&gt;=Inputs!$E$17,AE7&lt;Inputs!$E$26),1,0)</f>
        <v>1</v>
      </c>
      <c r="AF11" s="380">
        <f>IF(AND(AF7&gt;=Inputs!$E$17,AF7&lt;Inputs!$E$26),1,0)</f>
        <v>1</v>
      </c>
      <c r="AG11" s="380">
        <f>IF(AND(AG7&gt;=Inputs!$E$17,AG7&lt;Inputs!$E$26),1,0)</f>
        <v>1</v>
      </c>
      <c r="AH11" s="380">
        <f>IF(AND(AH7&gt;=Inputs!$E$17,AH7&lt;Inputs!$E$26),1,0)</f>
        <v>1</v>
      </c>
      <c r="AI11" s="380">
        <f>IF(AND(AI7&gt;=Inputs!$E$17,AI7&lt;Inputs!$E$26),1,0)</f>
        <v>0</v>
      </c>
      <c r="AJ11" s="380">
        <f>IF(AND(AJ7&gt;=Inputs!$E$17,AJ7&lt;Inputs!$E$26),1,0)</f>
        <v>0</v>
      </c>
      <c r="AK11" s="380">
        <f>IF(AND(AK7&gt;=Inputs!$E$17,AK7&lt;Inputs!$E$26),1,0)</f>
        <v>0</v>
      </c>
      <c r="AL11" s="380">
        <f>IF(AND(AL7&gt;=Inputs!$E$17,AL7&lt;Inputs!$E$26),1,0)</f>
        <v>0</v>
      </c>
      <c r="AM11" s="380">
        <f>IF(AND(AM7&gt;=Inputs!$E$17,AM7&lt;Inputs!$E$26),1,0)</f>
        <v>0</v>
      </c>
      <c r="AN11" s="380">
        <f>IF(AND(AN7&gt;=Inputs!$E$17,AN7&lt;Inputs!$E$26),1,0)</f>
        <v>0</v>
      </c>
      <c r="AO11" s="380">
        <f>IF(AND(AO7&gt;=Inputs!$E$17,AO7&lt;Inputs!$E$26),1,0)</f>
        <v>0</v>
      </c>
      <c r="AP11" s="380">
        <f>IF(AND(AP7&gt;=Inputs!$E$17,AP7&lt;Inputs!$E$26),1,0)</f>
        <v>0</v>
      </c>
      <c r="AQ11" s="380">
        <f>IF(AND(AQ7&gt;=Inputs!$E$17,AQ7&lt;Inputs!$E$26),1,0)</f>
        <v>0</v>
      </c>
      <c r="AR11" s="380">
        <f>IF(AND(AR7&gt;=Inputs!$E$17,AR7&lt;Inputs!$E$26),1,0)</f>
        <v>0</v>
      </c>
    </row>
    <row r="12" spans="1:44" ht="15" x14ac:dyDescent="0.25">
      <c r="A12" s="2" t="s">
        <v>241</v>
      </c>
      <c r="B12" s="380"/>
      <c r="C12" s="11"/>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0"/>
      <c r="AI12" s="380"/>
      <c r="AJ12" s="380"/>
      <c r="AK12" s="380"/>
      <c r="AL12" s="380"/>
      <c r="AM12" s="380"/>
      <c r="AN12" s="380"/>
      <c r="AO12" s="380"/>
      <c r="AP12" s="380"/>
      <c r="AQ12" s="380"/>
      <c r="AR12" s="380"/>
    </row>
    <row r="13" spans="1:44" x14ac:dyDescent="0.2">
      <c r="A13" s="380"/>
      <c r="B13" s="380" t="s">
        <v>242</v>
      </c>
      <c r="C13" s="11" t="s">
        <v>54</v>
      </c>
      <c r="D13" s="380"/>
      <c r="E13" s="380"/>
      <c r="F13" s="380">
        <f>(F11+D13)*F11</f>
        <v>0</v>
      </c>
      <c r="G13" s="380">
        <f t="shared" ref="G13:AG13" si="4">(G11+F13)*G11</f>
        <v>0</v>
      </c>
      <c r="H13" s="380">
        <f t="shared" si="4"/>
        <v>0</v>
      </c>
      <c r="I13" s="380">
        <f t="shared" si="4"/>
        <v>0</v>
      </c>
      <c r="J13" s="380">
        <f t="shared" si="4"/>
        <v>0</v>
      </c>
      <c r="K13" s="380">
        <f t="shared" si="4"/>
        <v>0</v>
      </c>
      <c r="L13" s="380">
        <f t="shared" si="4"/>
        <v>0</v>
      </c>
      <c r="M13" s="380">
        <f t="shared" si="4"/>
        <v>0</v>
      </c>
      <c r="N13" s="380">
        <f t="shared" si="4"/>
        <v>0</v>
      </c>
      <c r="O13" s="380">
        <f t="shared" si="4"/>
        <v>1</v>
      </c>
      <c r="P13" s="380">
        <f t="shared" si="4"/>
        <v>2</v>
      </c>
      <c r="Q13" s="380">
        <f t="shared" si="4"/>
        <v>3</v>
      </c>
      <c r="R13" s="380">
        <f t="shared" si="4"/>
        <v>4</v>
      </c>
      <c r="S13" s="380">
        <f t="shared" si="4"/>
        <v>5</v>
      </c>
      <c r="T13" s="380">
        <f t="shared" si="4"/>
        <v>6</v>
      </c>
      <c r="U13" s="380">
        <f t="shared" si="4"/>
        <v>7</v>
      </c>
      <c r="V13" s="380">
        <f t="shared" si="4"/>
        <v>8</v>
      </c>
      <c r="W13" s="380">
        <f t="shared" si="4"/>
        <v>9</v>
      </c>
      <c r="X13" s="380">
        <f t="shared" si="4"/>
        <v>10</v>
      </c>
      <c r="Y13" s="380">
        <f t="shared" si="4"/>
        <v>11</v>
      </c>
      <c r="Z13" s="380">
        <f t="shared" si="4"/>
        <v>12</v>
      </c>
      <c r="AA13" s="380">
        <f t="shared" si="4"/>
        <v>13</v>
      </c>
      <c r="AB13" s="380">
        <f t="shared" si="4"/>
        <v>14</v>
      </c>
      <c r="AC13" s="380">
        <f t="shared" si="4"/>
        <v>15</v>
      </c>
      <c r="AD13" s="380">
        <f t="shared" si="4"/>
        <v>16</v>
      </c>
      <c r="AE13" s="380">
        <f t="shared" si="4"/>
        <v>17</v>
      </c>
      <c r="AF13" s="380">
        <f t="shared" si="4"/>
        <v>18</v>
      </c>
      <c r="AG13" s="380">
        <f t="shared" si="4"/>
        <v>19</v>
      </c>
      <c r="AH13" s="380">
        <f>(AH11+AG13)*AH11</f>
        <v>20</v>
      </c>
      <c r="AI13" s="380">
        <f t="shared" ref="AI13:AR13" si="5">(AI11+AH13)*AI11</f>
        <v>0</v>
      </c>
      <c r="AJ13" s="380">
        <f t="shared" si="5"/>
        <v>0</v>
      </c>
      <c r="AK13" s="380">
        <f t="shared" si="5"/>
        <v>0</v>
      </c>
      <c r="AL13" s="380">
        <f t="shared" si="5"/>
        <v>0</v>
      </c>
      <c r="AM13" s="380">
        <f t="shared" si="5"/>
        <v>0</v>
      </c>
      <c r="AN13" s="380">
        <f t="shared" si="5"/>
        <v>0</v>
      </c>
      <c r="AO13" s="380">
        <f t="shared" si="5"/>
        <v>0</v>
      </c>
      <c r="AP13" s="380">
        <f t="shared" si="5"/>
        <v>0</v>
      </c>
      <c r="AQ13" s="380">
        <f t="shared" si="5"/>
        <v>0</v>
      </c>
      <c r="AR13" s="380">
        <f t="shared" si="5"/>
        <v>0</v>
      </c>
    </row>
    <row r="14" spans="1:44" ht="15" x14ac:dyDescent="0.25">
      <c r="A14" s="2" t="s">
        <v>9</v>
      </c>
      <c r="B14" s="380"/>
      <c r="C14" s="11"/>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c r="AB14" s="380"/>
      <c r="AC14" s="380"/>
      <c r="AD14" s="380"/>
      <c r="AE14" s="380"/>
      <c r="AF14" s="380"/>
      <c r="AG14" s="380"/>
      <c r="AH14" s="380"/>
      <c r="AI14" s="380"/>
      <c r="AJ14" s="380"/>
      <c r="AK14" s="380"/>
      <c r="AL14" s="380"/>
      <c r="AM14" s="380"/>
      <c r="AN14" s="380"/>
      <c r="AO14" s="380"/>
      <c r="AP14" s="380"/>
      <c r="AQ14" s="380"/>
      <c r="AR14" s="380"/>
    </row>
    <row r="15" spans="1:44" x14ac:dyDescent="0.2">
      <c r="A15" s="380"/>
      <c r="B15" s="380" t="s">
        <v>75</v>
      </c>
      <c r="C15" s="11" t="s">
        <v>54</v>
      </c>
      <c r="D15" s="445">
        <f>Inputs!E29</f>
        <v>0</v>
      </c>
      <c r="E15" s="445"/>
      <c r="F15" s="446">
        <f t="shared" ref="F15:L15" si="6">1/(1+$D15)^(F$10)</f>
        <v>1</v>
      </c>
      <c r="G15" s="446">
        <f t="shared" si="6"/>
        <v>1</v>
      </c>
      <c r="H15" s="446">
        <f t="shared" si="6"/>
        <v>1</v>
      </c>
      <c r="I15" s="446">
        <f t="shared" si="6"/>
        <v>1</v>
      </c>
      <c r="J15" s="446">
        <f t="shared" si="6"/>
        <v>1</v>
      </c>
      <c r="K15" s="446">
        <f t="shared" si="6"/>
        <v>1</v>
      </c>
      <c r="L15" s="446">
        <f t="shared" si="6"/>
        <v>1</v>
      </c>
      <c r="M15" s="446">
        <f>1/(1+$D15)^(M$10)</f>
        <v>1</v>
      </c>
      <c r="N15" s="446">
        <f t="shared" ref="N15:AR15" si="7">1/(1+$D15)^(N$10)</f>
        <v>1</v>
      </c>
      <c r="O15" s="446">
        <f t="shared" si="7"/>
        <v>1</v>
      </c>
      <c r="P15" s="446">
        <f t="shared" si="7"/>
        <v>1</v>
      </c>
      <c r="Q15" s="446">
        <f t="shared" si="7"/>
        <v>1</v>
      </c>
      <c r="R15" s="446">
        <f t="shared" si="7"/>
        <v>1</v>
      </c>
      <c r="S15" s="446">
        <f t="shared" si="7"/>
        <v>1</v>
      </c>
      <c r="T15" s="446">
        <f t="shared" si="7"/>
        <v>1</v>
      </c>
      <c r="U15" s="446">
        <f t="shared" si="7"/>
        <v>1</v>
      </c>
      <c r="V15" s="446">
        <f t="shared" si="7"/>
        <v>1</v>
      </c>
      <c r="W15" s="446">
        <f t="shared" si="7"/>
        <v>1</v>
      </c>
      <c r="X15" s="446">
        <f t="shared" si="7"/>
        <v>1</v>
      </c>
      <c r="Y15" s="446">
        <f t="shared" si="7"/>
        <v>1</v>
      </c>
      <c r="Z15" s="446">
        <f t="shared" si="7"/>
        <v>1</v>
      </c>
      <c r="AA15" s="446">
        <f t="shared" si="7"/>
        <v>1</v>
      </c>
      <c r="AB15" s="446">
        <f t="shared" si="7"/>
        <v>1</v>
      </c>
      <c r="AC15" s="446">
        <f t="shared" si="7"/>
        <v>1</v>
      </c>
      <c r="AD15" s="446">
        <f t="shared" si="7"/>
        <v>1</v>
      </c>
      <c r="AE15" s="446">
        <f t="shared" si="7"/>
        <v>1</v>
      </c>
      <c r="AF15" s="446">
        <f t="shared" si="7"/>
        <v>1</v>
      </c>
      <c r="AG15" s="446">
        <f t="shared" si="7"/>
        <v>1</v>
      </c>
      <c r="AH15" s="446">
        <f t="shared" si="7"/>
        <v>1</v>
      </c>
      <c r="AI15" s="446">
        <f t="shared" si="7"/>
        <v>1</v>
      </c>
      <c r="AJ15" s="446">
        <f t="shared" si="7"/>
        <v>1</v>
      </c>
      <c r="AK15" s="446">
        <f t="shared" si="7"/>
        <v>1</v>
      </c>
      <c r="AL15" s="446">
        <f t="shared" si="7"/>
        <v>1</v>
      </c>
      <c r="AM15" s="446">
        <f t="shared" si="7"/>
        <v>1</v>
      </c>
      <c r="AN15" s="446">
        <f t="shared" si="7"/>
        <v>1</v>
      </c>
      <c r="AO15" s="446">
        <f t="shared" si="7"/>
        <v>1</v>
      </c>
      <c r="AP15" s="446">
        <f t="shared" si="7"/>
        <v>1</v>
      </c>
      <c r="AQ15" s="446">
        <f t="shared" si="7"/>
        <v>1</v>
      </c>
      <c r="AR15" s="446">
        <f t="shared" si="7"/>
        <v>1</v>
      </c>
    </row>
    <row r="16" spans="1:44" x14ac:dyDescent="0.2">
      <c r="A16" s="380"/>
      <c r="B16" s="380" t="str">
        <f>Inputs!$C$30</f>
        <v>2% Discount Factor</v>
      </c>
      <c r="C16" s="11" t="s">
        <v>54</v>
      </c>
      <c r="D16" s="445">
        <f>Inputs!E30</f>
        <v>0.02</v>
      </c>
      <c r="E16" s="445"/>
      <c r="F16" s="446">
        <f t="shared" ref="F16:L16" si="8">MIN(1,IF(F10=0,1,1/(1+$D16)^(F$10)))</f>
        <v>1</v>
      </c>
      <c r="G16" s="446">
        <f t="shared" si="8"/>
        <v>1</v>
      </c>
      <c r="H16" s="446">
        <f t="shared" si="8"/>
        <v>1</v>
      </c>
      <c r="I16" s="446">
        <f t="shared" si="8"/>
        <v>1</v>
      </c>
      <c r="J16" s="446">
        <f t="shared" si="8"/>
        <v>1</v>
      </c>
      <c r="K16" s="446">
        <f t="shared" si="8"/>
        <v>1</v>
      </c>
      <c r="L16" s="446">
        <f t="shared" si="8"/>
        <v>0.98039215686274506</v>
      </c>
      <c r="M16" s="446">
        <f>MIN(1,IF(M10=0,1,1/(1+$D16)^(M$10)))</f>
        <v>0.96116878123798544</v>
      </c>
      <c r="N16" s="446">
        <f t="shared" ref="N16:AR16" si="9">MIN(1,IF(N10=0,1,1/(1+$D16)^(N$10)))</f>
        <v>0.94232233454704462</v>
      </c>
      <c r="O16" s="446">
        <f t="shared" si="9"/>
        <v>0.9238454260265142</v>
      </c>
      <c r="P16" s="446">
        <f t="shared" si="9"/>
        <v>0.90573080982991594</v>
      </c>
      <c r="Q16" s="446">
        <f t="shared" si="9"/>
        <v>0.88797138218619198</v>
      </c>
      <c r="R16" s="446">
        <f t="shared" si="9"/>
        <v>0.87056017861391388</v>
      </c>
      <c r="S16" s="446">
        <f t="shared" si="9"/>
        <v>0.85349037119011162</v>
      </c>
      <c r="T16" s="446">
        <f t="shared" si="9"/>
        <v>0.83675526587265847</v>
      </c>
      <c r="U16" s="446">
        <f t="shared" si="9"/>
        <v>0.82034829987515534</v>
      </c>
      <c r="V16" s="446">
        <f t="shared" si="9"/>
        <v>0.80426303909328967</v>
      </c>
      <c r="W16" s="446">
        <f t="shared" si="9"/>
        <v>0.78849317558165644</v>
      </c>
      <c r="X16" s="446">
        <f t="shared" si="9"/>
        <v>0.77303252508005538</v>
      </c>
      <c r="Y16" s="446">
        <f t="shared" si="9"/>
        <v>0.75787502458828948</v>
      </c>
      <c r="Z16" s="446">
        <f t="shared" si="9"/>
        <v>0.74301472998851925</v>
      </c>
      <c r="AA16" s="446">
        <f t="shared" si="9"/>
        <v>0.72844581371423445</v>
      </c>
      <c r="AB16" s="446">
        <f t="shared" si="9"/>
        <v>0.7141625624649357</v>
      </c>
      <c r="AC16" s="446">
        <f t="shared" si="9"/>
        <v>0.7001593749656233</v>
      </c>
      <c r="AD16" s="446">
        <f t="shared" si="9"/>
        <v>0.68643075977021895</v>
      </c>
      <c r="AE16" s="446">
        <f t="shared" si="9"/>
        <v>0.67297133310805779</v>
      </c>
      <c r="AF16" s="446">
        <f t="shared" si="9"/>
        <v>0.65977581677260566</v>
      </c>
      <c r="AG16" s="446">
        <f t="shared" si="9"/>
        <v>0.64683903605157411</v>
      </c>
      <c r="AH16" s="446">
        <f t="shared" si="9"/>
        <v>0.63415591769762181</v>
      </c>
      <c r="AI16" s="446">
        <f t="shared" si="9"/>
        <v>0.62172148793884485</v>
      </c>
      <c r="AJ16" s="446">
        <f t="shared" si="9"/>
        <v>0.60953087052827937</v>
      </c>
      <c r="AK16" s="446">
        <f t="shared" si="9"/>
        <v>0.59757928483164635</v>
      </c>
      <c r="AL16" s="446">
        <f t="shared" si="9"/>
        <v>0.58586204395259456</v>
      </c>
      <c r="AM16" s="446">
        <f t="shared" si="9"/>
        <v>0.57437455289470041</v>
      </c>
      <c r="AN16" s="446">
        <f t="shared" si="9"/>
        <v>0.56311230675951029</v>
      </c>
      <c r="AO16" s="446">
        <f t="shared" si="9"/>
        <v>0.55207088897991197</v>
      </c>
      <c r="AP16" s="446">
        <f t="shared" si="9"/>
        <v>0.54124596958814919</v>
      </c>
      <c r="AQ16" s="446">
        <f t="shared" si="9"/>
        <v>0.53063330351779314</v>
      </c>
      <c r="AR16" s="446">
        <f t="shared" si="9"/>
        <v>0.52022872893901284</v>
      </c>
    </row>
    <row r="17" spans="1:44" x14ac:dyDescent="0.2">
      <c r="A17" s="380"/>
      <c r="B17" s="380" t="str">
        <f>Inputs!$C$31</f>
        <v>3.1% Discount Factor</v>
      </c>
      <c r="C17" s="11" t="s">
        <v>54</v>
      </c>
      <c r="D17" s="445">
        <f>Inputs!E31</f>
        <v>3.1E-2</v>
      </c>
      <c r="E17" s="445"/>
      <c r="F17" s="446">
        <f t="shared" ref="F17:L17" si="10">MIN(1,IF(F10=0,1,1/(1+$D17)^(F$10)))</f>
        <v>1</v>
      </c>
      <c r="G17" s="446">
        <f t="shared" si="10"/>
        <v>1</v>
      </c>
      <c r="H17" s="446">
        <f t="shared" si="10"/>
        <v>1</v>
      </c>
      <c r="I17" s="446">
        <f t="shared" si="10"/>
        <v>1</v>
      </c>
      <c r="J17" s="446">
        <f t="shared" si="10"/>
        <v>1</v>
      </c>
      <c r="K17" s="446">
        <f t="shared" si="10"/>
        <v>1</v>
      </c>
      <c r="L17" s="446">
        <f t="shared" si="10"/>
        <v>0.96993210475266745</v>
      </c>
      <c r="M17" s="446">
        <f>MIN(1,IF(M10=0,1,1/(1+$D17)^(M$10)))</f>
        <v>0.94076828782993938</v>
      </c>
      <c r="N17" s="446">
        <f t="shared" ref="N17:AR17" si="11">MIN(1,IF(N10=0,1,1/(1+$D17)^(N$10)))</f>
        <v>0.91248136549945624</v>
      </c>
      <c r="O17" s="446">
        <f t="shared" si="11"/>
        <v>0.88504497138647553</v>
      </c>
      <c r="P17" s="446">
        <f t="shared" si="11"/>
        <v>0.85843353189764848</v>
      </c>
      <c r="Q17" s="446">
        <f t="shared" si="11"/>
        <v>0.83262224238375215</v>
      </c>
      <c r="R17" s="446">
        <f t="shared" si="11"/>
        <v>0.80758704401915837</v>
      </c>
      <c r="S17" s="446">
        <f t="shared" si="11"/>
        <v>0.78330460137648728</v>
      </c>
      <c r="T17" s="446">
        <f t="shared" si="11"/>
        <v>0.75975228067554545</v>
      </c>
      <c r="U17" s="446">
        <f t="shared" si="11"/>
        <v>0.73690812868627109</v>
      </c>
      <c r="V17" s="446">
        <f t="shared" si="11"/>
        <v>0.71475085226602442</v>
      </c>
      <c r="W17" s="446">
        <f t="shared" si="11"/>
        <v>0.69325979851214781</v>
      </c>
      <c r="X17" s="446">
        <f t="shared" si="11"/>
        <v>0.67241493551129761</v>
      </c>
      <c r="Y17" s="446">
        <f t="shared" si="11"/>
        <v>0.65219683366760206</v>
      </c>
      <c r="Z17" s="446">
        <f t="shared" si="11"/>
        <v>0.63258664759224259</v>
      </c>
      <c r="AA17" s="446">
        <f t="shared" si="11"/>
        <v>0.6135660985375776</v>
      </c>
      <c r="AB17" s="446">
        <f t="shared" si="11"/>
        <v>0.59511745735943511</v>
      </c>
      <c r="AC17" s="446">
        <f t="shared" si="11"/>
        <v>0.57722352799169274</v>
      </c>
      <c r="AD17" s="446">
        <f t="shared" si="11"/>
        <v>0.55986763141774276</v>
      </c>
      <c r="AE17" s="446">
        <f t="shared" si="11"/>
        <v>0.54303359012390184</v>
      </c>
      <c r="AF17" s="446">
        <f t="shared" si="11"/>
        <v>0.52670571302027336</v>
      </c>
      <c r="AG17" s="446">
        <f t="shared" si="11"/>
        <v>0.51086878081500819</v>
      </c>
      <c r="AH17" s="446">
        <f t="shared" si="11"/>
        <v>0.49550803182832992</v>
      </c>
      <c r="AI17" s="446">
        <f t="shared" si="11"/>
        <v>0.4806091482331038</v>
      </c>
      <c r="AJ17" s="446">
        <f t="shared" si="11"/>
        <v>0.46615824270912104</v>
      </c>
      <c r="AK17" s="446">
        <f t="shared" si="11"/>
        <v>0.4521418454986626</v>
      </c>
      <c r="AL17" s="446">
        <f t="shared" si="11"/>
        <v>0.4385468918512731</v>
      </c>
      <c r="AM17" s="446">
        <f t="shared" si="11"/>
        <v>0.42536070984604568</v>
      </c>
      <c r="AN17" s="446">
        <f t="shared" si="11"/>
        <v>0.41257100858006374</v>
      </c>
      <c r="AO17" s="446">
        <f t="shared" si="11"/>
        <v>0.400165866711992</v>
      </c>
      <c r="AP17" s="446">
        <f t="shared" si="11"/>
        <v>0.38813372135013779</v>
      </c>
      <c r="AQ17" s="446">
        <f t="shared" si="11"/>
        <v>0.37646335727462438</v>
      </c>
      <c r="AR17" s="446">
        <f t="shared" si="11"/>
        <v>0.36514389648363188</v>
      </c>
    </row>
    <row r="19" spans="1:44" x14ac:dyDescent="0.2">
      <c r="A19" s="380"/>
      <c r="B19" s="380" t="s">
        <v>243</v>
      </c>
      <c r="C19" s="380" t="s">
        <v>48</v>
      </c>
      <c r="D19" s="380" t="s">
        <v>49</v>
      </c>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L19" s="380"/>
      <c r="AM19" s="380"/>
      <c r="AN19" s="380"/>
      <c r="AO19" s="380"/>
      <c r="AP19" s="380"/>
      <c r="AQ19" s="380"/>
      <c r="AR19" s="380"/>
    </row>
    <row r="20" spans="1:44" s="4" customFormat="1" x14ac:dyDescent="0.2">
      <c r="A20" s="449" t="s">
        <v>244</v>
      </c>
      <c r="B20" s="450"/>
      <c r="C20" s="450"/>
      <c r="D20" s="450"/>
      <c r="E20" s="450"/>
      <c r="F20" s="450"/>
      <c r="G20" s="450"/>
      <c r="H20" s="450"/>
      <c r="I20" s="450"/>
      <c r="J20" s="450"/>
      <c r="K20" s="450"/>
      <c r="L20" s="450"/>
      <c r="M20" s="450"/>
      <c r="N20" s="450"/>
      <c r="O20" s="450"/>
      <c r="P20" s="450"/>
      <c r="Q20" s="450"/>
      <c r="R20" s="450"/>
      <c r="S20" s="450"/>
      <c r="T20" s="450"/>
      <c r="U20" s="450"/>
      <c r="V20" s="450"/>
      <c r="W20" s="450"/>
      <c r="X20" s="450"/>
      <c r="Y20" s="450"/>
      <c r="Z20" s="450"/>
      <c r="AA20" s="450"/>
      <c r="AB20" s="450"/>
      <c r="AC20" s="450"/>
      <c r="AD20" s="450"/>
      <c r="AE20" s="450"/>
      <c r="AF20" s="450"/>
      <c r="AG20" s="450"/>
      <c r="AH20" s="450"/>
      <c r="AI20" s="450"/>
      <c r="AJ20" s="450"/>
      <c r="AK20" s="450"/>
      <c r="AL20" s="450"/>
      <c r="AM20" s="450"/>
      <c r="AN20" s="450"/>
      <c r="AO20" s="450"/>
      <c r="AP20" s="450"/>
      <c r="AQ20" s="450"/>
      <c r="AR20" s="450"/>
    </row>
    <row r="21" spans="1:44" ht="15" x14ac:dyDescent="0.25">
      <c r="A21" s="2" t="s">
        <v>299</v>
      </c>
      <c r="B21" s="380"/>
      <c r="C21" s="10"/>
      <c r="D21" s="380"/>
      <c r="E21" s="380"/>
      <c r="F21" s="380"/>
      <c r="G21" s="380"/>
      <c r="H21" s="380"/>
      <c r="I21" s="380"/>
      <c r="J21" s="380"/>
      <c r="K21" s="380"/>
      <c r="L21" s="380"/>
      <c r="M21" s="380"/>
      <c r="N21" s="380"/>
      <c r="O21" s="380"/>
      <c r="P21" s="380"/>
      <c r="Q21" s="380"/>
      <c r="R21" s="380"/>
      <c r="S21" s="380"/>
      <c r="T21" s="380"/>
      <c r="U21" s="380"/>
      <c r="V21" s="380"/>
      <c r="W21" s="380"/>
      <c r="X21" s="380"/>
      <c r="Y21" s="380"/>
      <c r="Z21" s="380"/>
      <c r="AA21" s="380"/>
      <c r="AB21" s="380"/>
      <c r="AC21" s="380"/>
      <c r="AD21" s="380"/>
      <c r="AE21" s="380"/>
      <c r="AF21" s="380"/>
      <c r="AG21" s="380"/>
      <c r="AH21" s="380"/>
      <c r="AI21" s="380"/>
      <c r="AJ21" s="380"/>
      <c r="AK21" s="380"/>
      <c r="AL21" s="380"/>
      <c r="AM21" s="380"/>
      <c r="AN21" s="380"/>
      <c r="AO21" s="380"/>
      <c r="AP21" s="380"/>
      <c r="AQ21" s="380"/>
      <c r="AR21" s="380"/>
    </row>
    <row r="22" spans="1:44" x14ac:dyDescent="0.2">
      <c r="A22" s="380"/>
      <c r="B22" s="380"/>
      <c r="C22" s="181"/>
      <c r="D22" s="440"/>
      <c r="E22" s="380"/>
      <c r="F22" s="417"/>
      <c r="G22" s="417"/>
      <c r="H22" s="417"/>
      <c r="I22" s="417"/>
      <c r="J22" s="417"/>
      <c r="K22" s="417"/>
      <c r="L22" s="417"/>
      <c r="M22" s="417"/>
      <c r="N22" s="417"/>
      <c r="O22" s="417"/>
      <c r="P22" s="417"/>
      <c r="Q22" s="417"/>
      <c r="R22" s="417"/>
      <c r="S22" s="417"/>
      <c r="T22" s="417"/>
      <c r="U22" s="417"/>
      <c r="V22" s="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row>
    <row r="23" spans="1:44" ht="15" x14ac:dyDescent="0.25">
      <c r="A23" s="380"/>
      <c r="B23" s="2" t="s">
        <v>300</v>
      </c>
      <c r="C23" s="181"/>
      <c r="D23" s="440"/>
      <c r="E23" s="380"/>
      <c r="F23" s="417"/>
      <c r="G23" s="417"/>
      <c r="H23" s="417"/>
      <c r="I23" s="417"/>
      <c r="J23" s="417"/>
      <c r="K23" s="417"/>
      <c r="L23" s="417"/>
      <c r="M23" s="417"/>
      <c r="N23" s="417"/>
      <c r="O23" s="417"/>
      <c r="P23" s="417"/>
      <c r="Q23" s="417"/>
      <c r="R23" s="417"/>
      <c r="S23" s="417"/>
      <c r="T23" s="417"/>
      <c r="U23" s="417"/>
      <c r="V23" s="417"/>
      <c r="W23" s="417"/>
      <c r="X23" s="417"/>
      <c r="Y23" s="417"/>
      <c r="Z23" s="417"/>
      <c r="AA23" s="417"/>
      <c r="AB23" s="417"/>
      <c r="AC23" s="417"/>
      <c r="AD23" s="417"/>
      <c r="AE23" s="417"/>
      <c r="AF23" s="417"/>
      <c r="AG23" s="417"/>
      <c r="AH23" s="417"/>
      <c r="AI23" s="417"/>
      <c r="AJ23" s="417"/>
      <c r="AK23" s="417"/>
      <c r="AL23" s="417"/>
      <c r="AM23" s="417"/>
      <c r="AN23" s="417"/>
      <c r="AO23" s="417"/>
      <c r="AP23" s="417"/>
      <c r="AQ23" s="417"/>
      <c r="AR23" s="417"/>
    </row>
    <row r="24" spans="1:44" x14ac:dyDescent="0.2">
      <c r="A24" s="380"/>
      <c r="B24" s="380" t="s">
        <v>158</v>
      </c>
      <c r="C24" s="181" t="s">
        <v>159</v>
      </c>
      <c r="D24" s="408">
        <f>Inputs!$E$91</f>
        <v>113.75</v>
      </c>
      <c r="E24" s="380"/>
      <c r="F24" s="458">
        <f t="shared" ref="F24:AR24" si="12">IF(F7=$D$25,$D$24,0)</f>
        <v>0</v>
      </c>
      <c r="G24" s="458">
        <f t="shared" si="12"/>
        <v>0</v>
      </c>
      <c r="H24" s="458">
        <f t="shared" si="12"/>
        <v>0</v>
      </c>
      <c r="I24" s="458">
        <f t="shared" si="12"/>
        <v>0</v>
      </c>
      <c r="J24" s="458">
        <f t="shared" si="12"/>
        <v>0</v>
      </c>
      <c r="K24" s="458">
        <f t="shared" si="12"/>
        <v>113.75</v>
      </c>
      <c r="L24" s="458">
        <f t="shared" si="12"/>
        <v>0</v>
      </c>
      <c r="M24" s="458">
        <f t="shared" si="12"/>
        <v>0</v>
      </c>
      <c r="N24" s="458">
        <f t="shared" si="12"/>
        <v>0</v>
      </c>
      <c r="O24" s="458">
        <f t="shared" si="12"/>
        <v>0</v>
      </c>
      <c r="P24" s="458">
        <f t="shared" si="12"/>
        <v>0</v>
      </c>
      <c r="Q24" s="458">
        <f t="shared" si="12"/>
        <v>0</v>
      </c>
      <c r="R24" s="458">
        <f t="shared" si="12"/>
        <v>0</v>
      </c>
      <c r="S24" s="458">
        <f t="shared" si="12"/>
        <v>0</v>
      </c>
      <c r="T24" s="458">
        <f t="shared" si="12"/>
        <v>0</v>
      </c>
      <c r="U24" s="458">
        <f t="shared" si="12"/>
        <v>0</v>
      </c>
      <c r="V24" s="458">
        <f t="shared" si="12"/>
        <v>0</v>
      </c>
      <c r="W24" s="458">
        <f t="shared" si="12"/>
        <v>0</v>
      </c>
      <c r="X24" s="458">
        <f t="shared" si="12"/>
        <v>0</v>
      </c>
      <c r="Y24" s="458">
        <f t="shared" si="12"/>
        <v>0</v>
      </c>
      <c r="Z24" s="458">
        <f t="shared" si="12"/>
        <v>0</v>
      </c>
      <c r="AA24" s="458">
        <f t="shared" si="12"/>
        <v>0</v>
      </c>
      <c r="AB24" s="458">
        <f t="shared" si="12"/>
        <v>0</v>
      </c>
      <c r="AC24" s="458">
        <f t="shared" si="12"/>
        <v>0</v>
      </c>
      <c r="AD24" s="458">
        <f t="shared" si="12"/>
        <v>0</v>
      </c>
      <c r="AE24" s="458">
        <f t="shared" si="12"/>
        <v>0</v>
      </c>
      <c r="AF24" s="458">
        <f t="shared" si="12"/>
        <v>0</v>
      </c>
      <c r="AG24" s="458">
        <f t="shared" si="12"/>
        <v>0</v>
      </c>
      <c r="AH24" s="458">
        <f t="shared" si="12"/>
        <v>0</v>
      </c>
      <c r="AI24" s="458">
        <f t="shared" si="12"/>
        <v>0</v>
      </c>
      <c r="AJ24" s="458">
        <f t="shared" si="12"/>
        <v>0</v>
      </c>
      <c r="AK24" s="458">
        <f t="shared" si="12"/>
        <v>0</v>
      </c>
      <c r="AL24" s="458">
        <f t="shared" si="12"/>
        <v>0</v>
      </c>
      <c r="AM24" s="458">
        <f t="shared" si="12"/>
        <v>0</v>
      </c>
      <c r="AN24" s="458">
        <f t="shared" si="12"/>
        <v>0</v>
      </c>
      <c r="AO24" s="458">
        <f t="shared" si="12"/>
        <v>0</v>
      </c>
      <c r="AP24" s="458">
        <f t="shared" si="12"/>
        <v>0</v>
      </c>
      <c r="AQ24" s="458">
        <f t="shared" si="12"/>
        <v>0</v>
      </c>
      <c r="AR24" s="458">
        <f t="shared" si="12"/>
        <v>0</v>
      </c>
    </row>
    <row r="25" spans="1:44" x14ac:dyDescent="0.2">
      <c r="A25" s="380"/>
      <c r="B25" s="380" t="s">
        <v>119</v>
      </c>
      <c r="C25" s="181" t="s">
        <v>120</v>
      </c>
      <c r="D25" s="428">
        <f>Inputs!$E$92</f>
        <v>2023</v>
      </c>
      <c r="E25" s="380"/>
      <c r="F25" s="417"/>
      <c r="G25" s="417"/>
      <c r="H25" s="417"/>
      <c r="I25" s="417"/>
      <c r="J25" s="417"/>
      <c r="K25" s="417"/>
      <c r="L25" s="417"/>
      <c r="M25" s="417"/>
      <c r="N25" s="417"/>
      <c r="O25" s="417"/>
      <c r="P25" s="417"/>
      <c r="Q25" s="417"/>
      <c r="R25" s="417"/>
      <c r="S25" s="417"/>
      <c r="T25" s="417"/>
      <c r="U25" s="417"/>
      <c r="V25" s="417"/>
      <c r="W25" s="417"/>
      <c r="X25" s="417"/>
      <c r="Y25" s="417"/>
      <c r="Z25" s="417"/>
      <c r="AA25" s="417"/>
      <c r="AB25" s="417"/>
      <c r="AC25" s="417"/>
      <c r="AD25" s="417"/>
      <c r="AE25" s="417"/>
      <c r="AF25" s="417"/>
      <c r="AG25" s="417"/>
      <c r="AH25" s="417"/>
      <c r="AI25" s="417"/>
      <c r="AJ25" s="417"/>
      <c r="AK25" s="417"/>
      <c r="AL25" s="417"/>
      <c r="AM25" s="417"/>
      <c r="AN25" s="417"/>
      <c r="AO25" s="417"/>
      <c r="AP25" s="417"/>
      <c r="AQ25" s="417"/>
      <c r="AR25" s="417"/>
    </row>
    <row r="26" spans="1:44" x14ac:dyDescent="0.2">
      <c r="A26" s="380"/>
      <c r="B26" s="380" t="s">
        <v>161</v>
      </c>
      <c r="C26" s="181" t="s">
        <v>159</v>
      </c>
      <c r="D26" s="432">
        <f>Inputs!$E$93</f>
        <v>535</v>
      </c>
      <c r="E26" s="380"/>
      <c r="F26" s="417"/>
      <c r="G26" s="417"/>
      <c r="H26" s="417"/>
      <c r="I26" s="417"/>
      <c r="J26" s="417"/>
      <c r="K26" s="417"/>
      <c r="L26" s="417"/>
      <c r="M26" s="417"/>
      <c r="N26" s="417"/>
      <c r="O26" s="417"/>
      <c r="P26" s="417"/>
      <c r="Q26" s="417"/>
      <c r="R26" s="417"/>
      <c r="S26" s="417"/>
      <c r="T26" s="417"/>
      <c r="U26" s="417"/>
      <c r="V26" s="417"/>
      <c r="W26" s="417"/>
      <c r="X26" s="417"/>
      <c r="Y26" s="417"/>
      <c r="Z26" s="417"/>
      <c r="AA26" s="417"/>
      <c r="AB26" s="417"/>
      <c r="AC26" s="417"/>
      <c r="AD26" s="417"/>
      <c r="AE26" s="417"/>
      <c r="AF26" s="417"/>
      <c r="AG26" s="417"/>
      <c r="AH26" s="417"/>
      <c r="AI26" s="417"/>
      <c r="AJ26" s="417"/>
      <c r="AK26" s="417"/>
      <c r="AL26" s="417"/>
      <c r="AM26" s="417"/>
      <c r="AN26" s="417"/>
      <c r="AO26" s="417"/>
      <c r="AP26" s="417"/>
      <c r="AQ26" s="417"/>
      <c r="AR26" s="417"/>
    </row>
    <row r="27" spans="1:44" x14ac:dyDescent="0.2">
      <c r="A27" s="380"/>
      <c r="B27" s="380" t="s">
        <v>163</v>
      </c>
      <c r="C27" s="181" t="s">
        <v>120</v>
      </c>
      <c r="D27" s="428">
        <f>Inputs!$E$95</f>
        <v>2046</v>
      </c>
      <c r="E27" s="380"/>
      <c r="F27" s="417"/>
      <c r="G27" s="417"/>
      <c r="H27" s="417"/>
      <c r="I27" s="417"/>
      <c r="J27" s="417"/>
      <c r="K27" s="417"/>
      <c r="L27" s="417"/>
      <c r="M27" s="417"/>
      <c r="N27" s="417"/>
      <c r="O27" s="417"/>
      <c r="P27" s="417"/>
      <c r="Q27" s="417"/>
      <c r="R27" s="417"/>
      <c r="S27" s="417"/>
      <c r="T27" s="417"/>
      <c r="U27" s="417"/>
      <c r="V27" s="417"/>
      <c r="W27" s="417"/>
      <c r="X27" s="417"/>
      <c r="Y27" s="417"/>
      <c r="Z27" s="417"/>
      <c r="AA27" s="417"/>
      <c r="AB27" s="417"/>
      <c r="AC27" s="417"/>
      <c r="AD27" s="417"/>
      <c r="AE27" s="417"/>
      <c r="AF27" s="417"/>
      <c r="AG27" s="417"/>
      <c r="AH27" s="417"/>
      <c r="AI27" s="417"/>
      <c r="AJ27" s="417"/>
      <c r="AK27" s="417"/>
      <c r="AL27" s="417"/>
      <c r="AM27" s="417"/>
      <c r="AN27" s="417"/>
      <c r="AO27" s="417"/>
      <c r="AP27" s="417"/>
      <c r="AQ27" s="417"/>
      <c r="AR27" s="417"/>
    </row>
    <row r="28" spans="1:44" x14ac:dyDescent="0.2">
      <c r="A28" s="380"/>
      <c r="B28" s="380" t="s">
        <v>301</v>
      </c>
      <c r="C28" s="181" t="s">
        <v>159</v>
      </c>
      <c r="D28" s="459">
        <f>(D26-D24)/(D27-D25)</f>
        <v>18.315217391304348</v>
      </c>
      <c r="E28" s="380"/>
      <c r="F28" s="417"/>
      <c r="G28" s="417"/>
      <c r="H28" s="417"/>
      <c r="I28" s="417"/>
      <c r="J28" s="417"/>
      <c r="K28" s="417"/>
      <c r="L28" s="417"/>
      <c r="M28" s="417"/>
      <c r="N28" s="417"/>
      <c r="O28" s="417"/>
      <c r="P28" s="417"/>
      <c r="Q28" s="417"/>
      <c r="R28" s="417"/>
      <c r="S28" s="417"/>
      <c r="T28" s="417"/>
      <c r="U28" s="417"/>
      <c r="V28" s="417"/>
      <c r="W28" s="417"/>
      <c r="X28" s="417"/>
      <c r="Y28" s="417"/>
      <c r="Z28" s="417"/>
      <c r="AA28" s="417"/>
      <c r="AB28" s="417"/>
      <c r="AC28" s="417"/>
      <c r="AD28" s="417"/>
      <c r="AE28" s="417"/>
      <c r="AF28" s="417"/>
      <c r="AG28" s="417"/>
      <c r="AH28" s="417"/>
      <c r="AI28" s="417"/>
      <c r="AJ28" s="417"/>
      <c r="AK28" s="417"/>
      <c r="AL28" s="417"/>
      <c r="AM28" s="417"/>
      <c r="AN28" s="417"/>
      <c r="AO28" s="417"/>
      <c r="AP28" s="417"/>
      <c r="AQ28" s="417"/>
      <c r="AR28" s="417"/>
    </row>
    <row r="29" spans="1:44" x14ac:dyDescent="0.2">
      <c r="A29" s="380"/>
      <c r="B29" s="380" t="s">
        <v>302</v>
      </c>
      <c r="C29" s="181" t="s">
        <v>106</v>
      </c>
      <c r="D29" s="453"/>
      <c r="E29" s="380"/>
      <c r="F29" s="417">
        <f t="shared" ref="F29:AR29" si="13">IF(F7&gt;$D$25,1,0)</f>
        <v>0</v>
      </c>
      <c r="G29" s="417">
        <f t="shared" si="13"/>
        <v>0</v>
      </c>
      <c r="H29" s="417">
        <f t="shared" si="13"/>
        <v>0</v>
      </c>
      <c r="I29" s="417">
        <f t="shared" si="13"/>
        <v>0</v>
      </c>
      <c r="J29" s="417">
        <f t="shared" si="13"/>
        <v>0</v>
      </c>
      <c r="K29" s="417">
        <f t="shared" si="13"/>
        <v>0</v>
      </c>
      <c r="L29" s="417">
        <f t="shared" si="13"/>
        <v>1</v>
      </c>
      <c r="M29" s="417">
        <f t="shared" si="13"/>
        <v>1</v>
      </c>
      <c r="N29" s="417">
        <f t="shared" si="13"/>
        <v>1</v>
      </c>
      <c r="O29" s="417">
        <f t="shared" si="13"/>
        <v>1</v>
      </c>
      <c r="P29" s="417">
        <f t="shared" si="13"/>
        <v>1</v>
      </c>
      <c r="Q29" s="417">
        <f t="shared" si="13"/>
        <v>1</v>
      </c>
      <c r="R29" s="417">
        <f t="shared" si="13"/>
        <v>1</v>
      </c>
      <c r="S29" s="417">
        <f t="shared" si="13"/>
        <v>1</v>
      </c>
      <c r="T29" s="417">
        <f t="shared" si="13"/>
        <v>1</v>
      </c>
      <c r="U29" s="417">
        <f t="shared" si="13"/>
        <v>1</v>
      </c>
      <c r="V29" s="417">
        <f t="shared" si="13"/>
        <v>1</v>
      </c>
      <c r="W29" s="417">
        <f t="shared" si="13"/>
        <v>1</v>
      </c>
      <c r="X29" s="417">
        <f t="shared" si="13"/>
        <v>1</v>
      </c>
      <c r="Y29" s="417">
        <f t="shared" si="13"/>
        <v>1</v>
      </c>
      <c r="Z29" s="417">
        <f t="shared" si="13"/>
        <v>1</v>
      </c>
      <c r="AA29" s="417">
        <f t="shared" si="13"/>
        <v>1</v>
      </c>
      <c r="AB29" s="417">
        <f t="shared" si="13"/>
        <v>1</v>
      </c>
      <c r="AC29" s="417">
        <f t="shared" si="13"/>
        <v>1</v>
      </c>
      <c r="AD29" s="417">
        <f t="shared" si="13"/>
        <v>1</v>
      </c>
      <c r="AE29" s="417">
        <f t="shared" si="13"/>
        <v>1</v>
      </c>
      <c r="AF29" s="417">
        <f t="shared" si="13"/>
        <v>1</v>
      </c>
      <c r="AG29" s="417">
        <f t="shared" si="13"/>
        <v>1</v>
      </c>
      <c r="AH29" s="417">
        <f t="shared" si="13"/>
        <v>1</v>
      </c>
      <c r="AI29" s="417">
        <f t="shared" si="13"/>
        <v>1</v>
      </c>
      <c r="AJ29" s="417">
        <f t="shared" si="13"/>
        <v>1</v>
      </c>
      <c r="AK29" s="417">
        <f t="shared" si="13"/>
        <v>1</v>
      </c>
      <c r="AL29" s="417">
        <f t="shared" si="13"/>
        <v>1</v>
      </c>
      <c r="AM29" s="417">
        <f t="shared" si="13"/>
        <v>1</v>
      </c>
      <c r="AN29" s="417">
        <f t="shared" si="13"/>
        <v>1</v>
      </c>
      <c r="AO29" s="417">
        <f t="shared" si="13"/>
        <v>1</v>
      </c>
      <c r="AP29" s="417">
        <f t="shared" si="13"/>
        <v>1</v>
      </c>
      <c r="AQ29" s="417">
        <f t="shared" si="13"/>
        <v>1</v>
      </c>
      <c r="AR29" s="417">
        <f t="shared" si="13"/>
        <v>1</v>
      </c>
    </row>
    <row r="30" spans="1:44" ht="15" x14ac:dyDescent="0.25">
      <c r="A30" s="2"/>
      <c r="B30" s="380" t="s">
        <v>303</v>
      </c>
      <c r="C30" s="181" t="s">
        <v>159</v>
      </c>
      <c r="D30" s="432">
        <f>SUM(F30:AR30)</f>
        <v>14142.336956521747</v>
      </c>
      <c r="E30" s="380"/>
      <c r="F30" s="432">
        <f t="shared" ref="F30:AR30" si="14">E30+F24+F29*$D$28</f>
        <v>0</v>
      </c>
      <c r="G30" s="432">
        <f t="shared" si="14"/>
        <v>0</v>
      </c>
      <c r="H30" s="432">
        <f t="shared" si="14"/>
        <v>0</v>
      </c>
      <c r="I30" s="432">
        <f t="shared" si="14"/>
        <v>0</v>
      </c>
      <c r="J30" s="432">
        <f t="shared" si="14"/>
        <v>0</v>
      </c>
      <c r="K30" s="432">
        <f t="shared" si="14"/>
        <v>113.75</v>
      </c>
      <c r="L30" s="432">
        <f t="shared" si="14"/>
        <v>132.06521739130434</v>
      </c>
      <c r="M30" s="432">
        <f t="shared" si="14"/>
        <v>150.38043478260869</v>
      </c>
      <c r="N30" s="432">
        <f t="shared" si="14"/>
        <v>168.69565217391303</v>
      </c>
      <c r="O30" s="432">
        <f t="shared" si="14"/>
        <v>187.01086956521738</v>
      </c>
      <c r="P30" s="432">
        <f t="shared" si="14"/>
        <v>205.32608695652172</v>
      </c>
      <c r="Q30" s="432">
        <f t="shared" si="14"/>
        <v>223.64130434782606</v>
      </c>
      <c r="R30" s="432">
        <f t="shared" si="14"/>
        <v>241.95652173913041</v>
      </c>
      <c r="S30" s="432">
        <f t="shared" si="14"/>
        <v>260.27173913043475</v>
      </c>
      <c r="T30" s="432">
        <f t="shared" si="14"/>
        <v>278.58695652173913</v>
      </c>
      <c r="U30" s="432">
        <f t="shared" si="14"/>
        <v>296.9021739130435</v>
      </c>
      <c r="V30" s="432">
        <f t="shared" si="14"/>
        <v>315.21739130434787</v>
      </c>
      <c r="W30" s="432">
        <f t="shared" si="14"/>
        <v>333.53260869565224</v>
      </c>
      <c r="X30" s="432">
        <f t="shared" si="14"/>
        <v>351.84782608695662</v>
      </c>
      <c r="Y30" s="432">
        <f t="shared" si="14"/>
        <v>370.16304347826099</v>
      </c>
      <c r="Z30" s="432">
        <f t="shared" si="14"/>
        <v>388.47826086956536</v>
      </c>
      <c r="AA30" s="432">
        <f t="shared" si="14"/>
        <v>406.79347826086973</v>
      </c>
      <c r="AB30" s="432">
        <f t="shared" si="14"/>
        <v>425.10869565217411</v>
      </c>
      <c r="AC30" s="432">
        <f t="shared" si="14"/>
        <v>443.42391304347848</v>
      </c>
      <c r="AD30" s="432">
        <f t="shared" si="14"/>
        <v>461.73913043478285</v>
      </c>
      <c r="AE30" s="432">
        <f t="shared" si="14"/>
        <v>480.05434782608722</v>
      </c>
      <c r="AF30" s="432">
        <f t="shared" si="14"/>
        <v>498.3695652173916</v>
      </c>
      <c r="AG30" s="432">
        <f t="shared" si="14"/>
        <v>516.68478260869597</v>
      </c>
      <c r="AH30" s="432">
        <f t="shared" si="14"/>
        <v>535.00000000000034</v>
      </c>
      <c r="AI30" s="432">
        <f t="shared" si="14"/>
        <v>553.31521739130471</v>
      </c>
      <c r="AJ30" s="432">
        <f t="shared" si="14"/>
        <v>571.63043478260909</v>
      </c>
      <c r="AK30" s="432">
        <f t="shared" si="14"/>
        <v>589.94565217391346</v>
      </c>
      <c r="AL30" s="432">
        <f t="shared" si="14"/>
        <v>608.26086956521783</v>
      </c>
      <c r="AM30" s="432">
        <f t="shared" si="14"/>
        <v>626.5760869565222</v>
      </c>
      <c r="AN30" s="432">
        <f t="shared" si="14"/>
        <v>644.89130434782658</v>
      </c>
      <c r="AO30" s="432">
        <f t="shared" si="14"/>
        <v>663.20652173913095</v>
      </c>
      <c r="AP30" s="432">
        <f t="shared" si="14"/>
        <v>681.52173913043532</v>
      </c>
      <c r="AQ30" s="432">
        <f t="shared" si="14"/>
        <v>699.83695652173969</v>
      </c>
      <c r="AR30" s="432">
        <f t="shared" si="14"/>
        <v>718.15217391304407</v>
      </c>
    </row>
    <row r="31" spans="1:44" x14ac:dyDescent="0.2">
      <c r="A31" s="380"/>
      <c r="B31" s="380"/>
      <c r="C31" s="181"/>
      <c r="D31" s="432"/>
      <c r="E31" s="380"/>
      <c r="F31" s="417"/>
      <c r="G31" s="417"/>
      <c r="H31" s="417"/>
      <c r="I31" s="417"/>
      <c r="J31" s="417"/>
      <c r="K31" s="417"/>
      <c r="L31" s="417"/>
      <c r="M31" s="417"/>
      <c r="N31" s="417"/>
      <c r="O31" s="417"/>
      <c r="P31" s="417"/>
      <c r="Q31" s="417"/>
      <c r="R31" s="417"/>
      <c r="S31" s="417"/>
      <c r="T31" s="417"/>
      <c r="U31" s="417"/>
      <c r="V31" s="417"/>
      <c r="W31" s="417"/>
      <c r="X31" s="417"/>
      <c r="Y31" s="417"/>
      <c r="Z31" s="417"/>
      <c r="AA31" s="417"/>
      <c r="AB31" s="417"/>
      <c r="AC31" s="417"/>
      <c r="AD31" s="417"/>
      <c r="AE31" s="417"/>
      <c r="AF31" s="417"/>
      <c r="AG31" s="417"/>
      <c r="AH31" s="417"/>
      <c r="AI31" s="417"/>
      <c r="AJ31" s="417"/>
      <c r="AK31" s="417"/>
      <c r="AL31" s="417"/>
      <c r="AM31" s="417"/>
      <c r="AN31" s="417"/>
      <c r="AO31" s="417"/>
      <c r="AP31" s="417"/>
      <c r="AQ31" s="417"/>
      <c r="AR31" s="417"/>
    </row>
    <row r="32" spans="1:44" ht="15" x14ac:dyDescent="0.25">
      <c r="A32" s="380"/>
      <c r="B32" s="2" t="s">
        <v>304</v>
      </c>
      <c r="C32" s="181"/>
      <c r="D32" s="426"/>
      <c r="E32" s="380"/>
      <c r="F32" s="417"/>
      <c r="G32" s="417"/>
      <c r="H32" s="417"/>
      <c r="I32" s="417"/>
      <c r="J32" s="417"/>
      <c r="K32" s="417"/>
      <c r="L32" s="417"/>
      <c r="M32" s="417"/>
      <c r="N32" s="417"/>
      <c r="O32" s="417"/>
      <c r="P32" s="417"/>
      <c r="Q32" s="417"/>
      <c r="R32" s="417"/>
      <c r="S32" s="417"/>
      <c r="T32" s="417"/>
      <c r="U32" s="417"/>
      <c r="V32" s="417"/>
      <c r="W32" s="417"/>
      <c r="X32" s="417"/>
      <c r="Y32" s="417"/>
      <c r="Z32" s="417"/>
      <c r="AA32" s="417"/>
      <c r="AB32" s="417"/>
      <c r="AC32" s="417"/>
      <c r="AD32" s="417"/>
      <c r="AE32" s="417"/>
      <c r="AF32" s="417"/>
      <c r="AG32" s="417"/>
      <c r="AH32" s="417"/>
      <c r="AI32" s="417"/>
      <c r="AJ32" s="417"/>
      <c r="AK32" s="417"/>
      <c r="AL32" s="417"/>
      <c r="AM32" s="417"/>
      <c r="AN32" s="417"/>
      <c r="AO32" s="417"/>
      <c r="AP32" s="417"/>
      <c r="AQ32" s="417"/>
      <c r="AR32" s="417"/>
    </row>
    <row r="33" spans="1:44" ht="15" x14ac:dyDescent="0.25">
      <c r="A33" s="2"/>
      <c r="B33" s="2" t="s">
        <v>268</v>
      </c>
      <c r="C33" s="181"/>
      <c r="D33" s="426"/>
      <c r="E33" s="380"/>
      <c r="F33" s="417"/>
      <c r="G33" s="417"/>
      <c r="H33" s="417"/>
      <c r="I33" s="417"/>
      <c r="J33" s="417"/>
      <c r="K33" s="417"/>
      <c r="L33" s="417"/>
      <c r="M33" s="417"/>
      <c r="N33" s="417"/>
      <c r="O33" s="417"/>
      <c r="P33" s="417"/>
      <c r="Q33" s="417"/>
      <c r="R33" s="417"/>
      <c r="S33" s="417"/>
      <c r="T33" s="417"/>
      <c r="U33" s="417"/>
      <c r="V33" s="417"/>
      <c r="W33" s="417"/>
      <c r="X33" s="417"/>
      <c r="Y33" s="417"/>
      <c r="Z33" s="417"/>
      <c r="AA33" s="417"/>
      <c r="AB33" s="417"/>
      <c r="AC33" s="417"/>
      <c r="AD33" s="417"/>
      <c r="AE33" s="417"/>
      <c r="AF33" s="417"/>
      <c r="AG33" s="417"/>
      <c r="AH33" s="417"/>
      <c r="AI33" s="417"/>
      <c r="AJ33" s="417"/>
      <c r="AK33" s="417"/>
      <c r="AL33" s="417"/>
      <c r="AM33" s="417"/>
      <c r="AN33" s="417"/>
      <c r="AO33" s="417"/>
      <c r="AP33" s="417"/>
      <c r="AQ33" s="417"/>
      <c r="AR33" s="417"/>
    </row>
    <row r="34" spans="1:44" x14ac:dyDescent="0.2">
      <c r="A34" s="380"/>
      <c r="B34" s="380" t="s">
        <v>305</v>
      </c>
      <c r="C34" s="181" t="s">
        <v>139</v>
      </c>
      <c r="D34" s="460">
        <f>Inputs!$E$78</f>
        <v>21.1</v>
      </c>
      <c r="E34" s="380"/>
      <c r="F34" s="417"/>
      <c r="G34" s="417"/>
      <c r="H34" s="417"/>
      <c r="I34" s="417"/>
      <c r="J34" s="417"/>
      <c r="K34" s="417"/>
      <c r="L34" s="417"/>
      <c r="M34" s="417"/>
      <c r="N34" s="417"/>
      <c r="O34" s="417"/>
      <c r="P34" s="417"/>
      <c r="Q34" s="417"/>
      <c r="R34" s="417"/>
      <c r="S34" s="417"/>
      <c r="T34" s="417"/>
      <c r="U34" s="417"/>
      <c r="V34" s="417"/>
      <c r="W34" s="417"/>
      <c r="X34" s="417"/>
      <c r="Y34" s="417"/>
      <c r="Z34" s="417"/>
      <c r="AA34" s="417"/>
      <c r="AB34" s="417"/>
      <c r="AC34" s="417"/>
      <c r="AD34" s="417"/>
      <c r="AE34" s="417"/>
      <c r="AF34" s="417"/>
      <c r="AG34" s="417"/>
      <c r="AH34" s="417"/>
      <c r="AI34" s="417"/>
      <c r="AJ34" s="417"/>
      <c r="AK34" s="417"/>
      <c r="AL34" s="417"/>
      <c r="AM34" s="417"/>
      <c r="AN34" s="417"/>
      <c r="AO34" s="417"/>
      <c r="AP34" s="417"/>
      <c r="AQ34" s="417"/>
      <c r="AR34" s="417"/>
    </row>
    <row r="35" spans="1:44" ht="15" x14ac:dyDescent="0.25">
      <c r="A35" s="2"/>
      <c r="B35" s="380" t="s">
        <v>306</v>
      </c>
      <c r="C35" s="11" t="s">
        <v>150</v>
      </c>
      <c r="D35" s="459">
        <f>Inputs!$E$88</f>
        <v>1.52</v>
      </c>
      <c r="E35" s="380"/>
      <c r="F35" s="417"/>
      <c r="G35" s="417"/>
      <c r="H35" s="417"/>
      <c r="I35" s="417"/>
      <c r="J35" s="417"/>
      <c r="K35" s="417"/>
      <c r="L35" s="417"/>
      <c r="M35" s="417"/>
      <c r="N35" s="417"/>
      <c r="O35" s="417"/>
      <c r="P35" s="417"/>
      <c r="Q35" s="417"/>
      <c r="R35" s="417"/>
      <c r="S35" s="417"/>
      <c r="T35" s="417"/>
      <c r="U35" s="417"/>
      <c r="V35" s="417"/>
      <c r="W35" s="417"/>
      <c r="X35" s="417"/>
      <c r="Y35" s="417"/>
      <c r="Z35" s="417"/>
      <c r="AA35" s="417"/>
      <c r="AB35" s="417"/>
      <c r="AC35" s="417"/>
      <c r="AD35" s="417"/>
      <c r="AE35" s="417"/>
      <c r="AF35" s="417"/>
      <c r="AG35" s="417"/>
      <c r="AH35" s="417"/>
      <c r="AI35" s="417"/>
      <c r="AJ35" s="417"/>
      <c r="AK35" s="417"/>
      <c r="AL35" s="417"/>
      <c r="AM35" s="417"/>
      <c r="AN35" s="417"/>
      <c r="AO35" s="417"/>
      <c r="AP35" s="417"/>
      <c r="AQ35" s="417"/>
      <c r="AR35" s="417"/>
    </row>
    <row r="36" spans="1:44" ht="15" x14ac:dyDescent="0.25">
      <c r="A36" s="2"/>
      <c r="B36" s="380" t="s">
        <v>307</v>
      </c>
      <c r="C36" s="11" t="s">
        <v>76</v>
      </c>
      <c r="D36" s="461">
        <f>1-Inputs!$E$47</f>
        <v>0.97</v>
      </c>
      <c r="E36" s="380"/>
      <c r="F36" s="417"/>
      <c r="G36" s="417"/>
      <c r="H36" s="417"/>
      <c r="I36" s="417"/>
      <c r="J36" s="417"/>
      <c r="K36" s="417"/>
      <c r="L36" s="417"/>
      <c r="M36" s="417"/>
      <c r="N36" s="417"/>
      <c r="O36" s="417"/>
      <c r="P36" s="417"/>
      <c r="Q36" s="417"/>
      <c r="R36" s="417"/>
      <c r="S36" s="417"/>
      <c r="T36" s="417"/>
      <c r="U36" s="417"/>
      <c r="V36" s="417"/>
      <c r="W36" s="417"/>
      <c r="X36" s="417"/>
      <c r="Y36" s="417"/>
      <c r="Z36" s="417"/>
      <c r="AA36" s="417"/>
      <c r="AB36" s="417"/>
      <c r="AC36" s="417"/>
      <c r="AD36" s="417"/>
      <c r="AE36" s="417"/>
      <c r="AF36" s="417"/>
      <c r="AG36" s="417"/>
      <c r="AH36" s="417"/>
      <c r="AI36" s="417"/>
      <c r="AJ36" s="417"/>
      <c r="AK36" s="417"/>
      <c r="AL36" s="417"/>
      <c r="AM36" s="417"/>
      <c r="AN36" s="417"/>
      <c r="AO36" s="417"/>
      <c r="AP36" s="417"/>
      <c r="AQ36" s="417"/>
      <c r="AR36" s="417"/>
    </row>
    <row r="37" spans="1:44" ht="15" x14ac:dyDescent="0.25">
      <c r="A37" s="2"/>
      <c r="B37" s="380" t="s">
        <v>308</v>
      </c>
      <c r="C37" s="11" t="s">
        <v>86</v>
      </c>
      <c r="D37" s="417">
        <f>SUM(F37:AR37)</f>
        <v>439965.83994347858</v>
      </c>
      <c r="E37" s="380"/>
      <c r="F37" s="417">
        <f>F$30*$D$34*$D$35*$D$36</f>
        <v>0</v>
      </c>
      <c r="G37" s="417">
        <f t="shared" ref="G37:AR37" si="15">G$30*$D$34*$D$35*$D$36</f>
        <v>0</v>
      </c>
      <c r="H37" s="417">
        <f t="shared" si="15"/>
        <v>0</v>
      </c>
      <c r="I37" s="417">
        <f t="shared" si="15"/>
        <v>0</v>
      </c>
      <c r="J37" s="417">
        <f t="shared" si="15"/>
        <v>0</v>
      </c>
      <c r="K37" s="417">
        <f t="shared" si="15"/>
        <v>3538.7442999999998</v>
      </c>
      <c r="L37" s="417">
        <f t="shared" si="15"/>
        <v>4108.5277826086958</v>
      </c>
      <c r="M37" s="417">
        <f t="shared" si="15"/>
        <v>4678.3112652173913</v>
      </c>
      <c r="N37" s="417">
        <f t="shared" si="15"/>
        <v>5248.0947478260869</v>
      </c>
      <c r="O37" s="417">
        <f t="shared" si="15"/>
        <v>5817.8782304347833</v>
      </c>
      <c r="P37" s="417">
        <f t="shared" si="15"/>
        <v>6387.6617130434788</v>
      </c>
      <c r="Q37" s="417">
        <f t="shared" si="15"/>
        <v>6957.4451956521734</v>
      </c>
      <c r="R37" s="417">
        <f t="shared" si="15"/>
        <v>7527.2286782608689</v>
      </c>
      <c r="S37" s="417">
        <f t="shared" si="15"/>
        <v>8097.0121608695654</v>
      </c>
      <c r="T37" s="417">
        <f t="shared" si="15"/>
        <v>8666.7956434782609</v>
      </c>
      <c r="U37" s="417">
        <f t="shared" si="15"/>
        <v>9236.5791260869573</v>
      </c>
      <c r="V37" s="417">
        <f t="shared" si="15"/>
        <v>9806.3626086956538</v>
      </c>
      <c r="W37" s="417">
        <f t="shared" si="15"/>
        <v>10376.14609130435</v>
      </c>
      <c r="X37" s="417">
        <f t="shared" si="15"/>
        <v>10945.929573913047</v>
      </c>
      <c r="Y37" s="417">
        <f t="shared" si="15"/>
        <v>11515.713056521745</v>
      </c>
      <c r="Z37" s="417">
        <f t="shared" si="15"/>
        <v>12085.496539130439</v>
      </c>
      <c r="AA37" s="417">
        <f t="shared" si="15"/>
        <v>12655.280021739136</v>
      </c>
      <c r="AB37" s="417">
        <f t="shared" si="15"/>
        <v>13225.063504347832</v>
      </c>
      <c r="AC37" s="417">
        <f t="shared" si="15"/>
        <v>13794.846986956531</v>
      </c>
      <c r="AD37" s="417">
        <f t="shared" si="15"/>
        <v>14364.630469565227</v>
      </c>
      <c r="AE37" s="417">
        <f t="shared" si="15"/>
        <v>14934.413952173922</v>
      </c>
      <c r="AF37" s="417">
        <f t="shared" si="15"/>
        <v>15504.19743478262</v>
      </c>
      <c r="AG37" s="417">
        <f t="shared" si="15"/>
        <v>16073.980917391313</v>
      </c>
      <c r="AH37" s="417">
        <f t="shared" si="15"/>
        <v>16643.764400000011</v>
      </c>
      <c r="AI37" s="417">
        <f t="shared" si="15"/>
        <v>17213.547882608709</v>
      </c>
      <c r="AJ37" s="417">
        <f t="shared" si="15"/>
        <v>17783.331365217404</v>
      </c>
      <c r="AK37" s="417">
        <f t="shared" si="15"/>
        <v>18353.114847826102</v>
      </c>
      <c r="AL37" s="417">
        <f t="shared" si="15"/>
        <v>18922.898330434797</v>
      </c>
      <c r="AM37" s="417">
        <f t="shared" si="15"/>
        <v>19492.681813043495</v>
      </c>
      <c r="AN37" s="417">
        <f t="shared" si="15"/>
        <v>20062.46529565219</v>
      </c>
      <c r="AO37" s="417">
        <f t="shared" si="15"/>
        <v>20632.248778260888</v>
      </c>
      <c r="AP37" s="417">
        <f t="shared" si="15"/>
        <v>21202.032260869582</v>
      </c>
      <c r="AQ37" s="417">
        <f t="shared" si="15"/>
        <v>21771.815743478281</v>
      </c>
      <c r="AR37" s="417">
        <f t="shared" si="15"/>
        <v>22341.599226086979</v>
      </c>
    </row>
    <row r="38" spans="1:44" ht="15" x14ac:dyDescent="0.25">
      <c r="A38" s="2"/>
      <c r="B38" s="380"/>
      <c r="C38" s="11"/>
      <c r="D38" s="461"/>
      <c r="E38" s="380"/>
      <c r="F38" s="417"/>
      <c r="G38" s="417"/>
      <c r="H38" s="417"/>
      <c r="I38" s="417"/>
      <c r="J38" s="417"/>
      <c r="K38" s="417"/>
      <c r="L38" s="417"/>
      <c r="M38" s="417"/>
      <c r="N38" s="417"/>
      <c r="O38" s="417"/>
      <c r="P38" s="417"/>
      <c r="Q38" s="417"/>
      <c r="R38" s="417"/>
      <c r="S38" s="417"/>
      <c r="T38" s="417"/>
      <c r="U38" s="417"/>
      <c r="V38" s="417"/>
      <c r="W38" s="417"/>
      <c r="X38" s="417"/>
      <c r="Y38" s="417"/>
      <c r="Z38" s="417"/>
      <c r="AA38" s="417"/>
      <c r="AB38" s="417"/>
      <c r="AC38" s="417"/>
      <c r="AD38" s="417"/>
      <c r="AE38" s="417"/>
      <c r="AF38" s="417"/>
      <c r="AG38" s="417"/>
      <c r="AH38" s="417"/>
      <c r="AI38" s="417"/>
      <c r="AJ38" s="417"/>
      <c r="AK38" s="417"/>
      <c r="AL38" s="417"/>
      <c r="AM38" s="417"/>
      <c r="AN38" s="417"/>
      <c r="AO38" s="417"/>
      <c r="AP38" s="417"/>
      <c r="AQ38" s="417"/>
      <c r="AR38" s="417"/>
    </row>
    <row r="39" spans="1:44" ht="15" x14ac:dyDescent="0.25">
      <c r="A39" s="2"/>
      <c r="B39" s="2" t="s">
        <v>269</v>
      </c>
      <c r="C39" s="181"/>
      <c r="D39" s="426"/>
      <c r="E39" s="380"/>
      <c r="F39" s="417"/>
      <c r="G39" s="417"/>
      <c r="H39" s="417"/>
      <c r="I39" s="417"/>
      <c r="J39" s="417"/>
      <c r="K39" s="417"/>
      <c r="L39" s="417"/>
      <c r="M39" s="417"/>
      <c r="N39" s="417"/>
      <c r="O39" s="417"/>
      <c r="P39" s="417"/>
      <c r="Q39" s="417"/>
      <c r="R39" s="417"/>
      <c r="S39" s="417"/>
      <c r="T39" s="417"/>
      <c r="U39" s="417"/>
      <c r="V39" s="417"/>
      <c r="W39" s="417"/>
      <c r="X39" s="417"/>
      <c r="Y39" s="417"/>
      <c r="Z39" s="417"/>
      <c r="AA39" s="417"/>
      <c r="AB39" s="417"/>
      <c r="AC39" s="417"/>
      <c r="AD39" s="417"/>
      <c r="AE39" s="417"/>
      <c r="AF39" s="417"/>
      <c r="AG39" s="417"/>
      <c r="AH39" s="417"/>
      <c r="AI39" s="417"/>
      <c r="AJ39" s="417"/>
      <c r="AK39" s="417"/>
      <c r="AL39" s="417"/>
      <c r="AM39" s="417"/>
      <c r="AN39" s="417"/>
      <c r="AO39" s="417"/>
      <c r="AP39" s="417"/>
      <c r="AQ39" s="417"/>
      <c r="AR39" s="417"/>
    </row>
    <row r="40" spans="1:44" ht="15" x14ac:dyDescent="0.25">
      <c r="A40" s="2"/>
      <c r="B40" s="380" t="s">
        <v>305</v>
      </c>
      <c r="C40" s="181" t="s">
        <v>139</v>
      </c>
      <c r="D40" s="460">
        <f>Inputs!$E$79</f>
        <v>38.799999999999997</v>
      </c>
      <c r="E40" s="380"/>
      <c r="F40" s="417"/>
      <c r="G40" s="417"/>
      <c r="H40" s="417"/>
      <c r="I40" s="417"/>
      <c r="J40" s="417"/>
      <c r="K40" s="417"/>
      <c r="L40" s="417"/>
      <c r="M40" s="417"/>
      <c r="N40" s="417"/>
      <c r="O40" s="417"/>
      <c r="P40" s="417"/>
      <c r="Q40" s="417"/>
      <c r="R40" s="417"/>
      <c r="S40" s="417"/>
      <c r="T40" s="417"/>
      <c r="U40" s="417"/>
      <c r="V40" s="417"/>
      <c r="W40" s="417"/>
      <c r="X40" s="417"/>
      <c r="Y40" s="417"/>
      <c r="Z40" s="417"/>
      <c r="AA40" s="417"/>
      <c r="AB40" s="417"/>
      <c r="AC40" s="417"/>
      <c r="AD40" s="417"/>
      <c r="AE40" s="417"/>
      <c r="AF40" s="417"/>
      <c r="AG40" s="417"/>
      <c r="AH40" s="417"/>
      <c r="AI40" s="417"/>
      <c r="AJ40" s="417"/>
      <c r="AK40" s="417"/>
      <c r="AL40" s="417"/>
      <c r="AM40" s="417"/>
      <c r="AN40" s="417"/>
      <c r="AO40" s="417"/>
      <c r="AP40" s="417"/>
      <c r="AQ40" s="417"/>
      <c r="AR40" s="417"/>
    </row>
    <row r="41" spans="1:44" ht="15" x14ac:dyDescent="0.25">
      <c r="A41" s="2"/>
      <c r="B41" s="380" t="s">
        <v>306</v>
      </c>
      <c r="C41" s="11" t="s">
        <v>150</v>
      </c>
      <c r="D41" s="459">
        <f>Inputs!$E$89</f>
        <v>1</v>
      </c>
      <c r="E41" s="380"/>
      <c r="F41" s="417"/>
      <c r="G41" s="417"/>
      <c r="H41" s="417"/>
      <c r="I41" s="417"/>
      <c r="J41" s="417"/>
      <c r="K41" s="417"/>
      <c r="L41" s="417"/>
      <c r="M41" s="417"/>
      <c r="N41" s="417"/>
      <c r="O41" s="417"/>
      <c r="P41" s="417"/>
      <c r="Q41" s="417"/>
      <c r="R41" s="417"/>
      <c r="S41" s="417"/>
      <c r="T41" s="417"/>
      <c r="U41" s="417"/>
      <c r="V41" s="417"/>
      <c r="W41" s="417"/>
      <c r="X41" s="417"/>
      <c r="Y41" s="417"/>
      <c r="Z41" s="417"/>
      <c r="AA41" s="417"/>
      <c r="AB41" s="417"/>
      <c r="AC41" s="417"/>
      <c r="AD41" s="417"/>
      <c r="AE41" s="417"/>
      <c r="AF41" s="417"/>
      <c r="AG41" s="417"/>
      <c r="AH41" s="417"/>
      <c r="AI41" s="417"/>
      <c r="AJ41" s="417"/>
      <c r="AK41" s="417"/>
      <c r="AL41" s="417"/>
      <c r="AM41" s="417"/>
      <c r="AN41" s="417"/>
      <c r="AO41" s="417"/>
      <c r="AP41" s="417"/>
      <c r="AQ41" s="417"/>
      <c r="AR41" s="417"/>
    </row>
    <row r="42" spans="1:44" ht="15" x14ac:dyDescent="0.25">
      <c r="A42" s="2"/>
      <c r="B42" s="380" t="s">
        <v>103</v>
      </c>
      <c r="C42" s="11" t="s">
        <v>76</v>
      </c>
      <c r="D42" s="461">
        <f>Inputs!$E$47</f>
        <v>0.03</v>
      </c>
      <c r="E42" s="380"/>
      <c r="F42" s="417"/>
      <c r="G42" s="417"/>
      <c r="H42" s="417"/>
      <c r="I42" s="417"/>
      <c r="J42" s="417"/>
      <c r="K42" s="417"/>
      <c r="L42" s="417"/>
      <c r="M42" s="417"/>
      <c r="N42" s="417"/>
      <c r="O42" s="417"/>
      <c r="P42" s="417"/>
      <c r="Q42" s="417"/>
      <c r="R42" s="417"/>
      <c r="S42" s="417"/>
      <c r="T42" s="417"/>
      <c r="U42" s="417"/>
      <c r="V42" s="417"/>
      <c r="W42" s="417"/>
      <c r="X42" s="417"/>
      <c r="Y42" s="417"/>
      <c r="Z42" s="417"/>
      <c r="AA42" s="417"/>
      <c r="AB42" s="417"/>
      <c r="AC42" s="417"/>
      <c r="AD42" s="417"/>
      <c r="AE42" s="417"/>
      <c r="AF42" s="417"/>
      <c r="AG42" s="417"/>
      <c r="AH42" s="417"/>
      <c r="AI42" s="417"/>
      <c r="AJ42" s="417"/>
      <c r="AK42" s="417"/>
      <c r="AL42" s="417"/>
      <c r="AM42" s="417"/>
      <c r="AN42" s="417"/>
      <c r="AO42" s="417"/>
      <c r="AP42" s="417"/>
      <c r="AQ42" s="417"/>
      <c r="AR42" s="417"/>
    </row>
    <row r="43" spans="1:44" ht="15" x14ac:dyDescent="0.25">
      <c r="A43" s="2"/>
      <c r="B43" s="380" t="s">
        <v>308</v>
      </c>
      <c r="C43" s="11" t="s">
        <v>86</v>
      </c>
      <c r="D43" s="417">
        <f>SUM(F43:AR43)</f>
        <v>16461.680217391313</v>
      </c>
      <c r="E43" s="380"/>
      <c r="F43" s="417">
        <f>F$30*$D$40*$D$41*$D$42</f>
        <v>0</v>
      </c>
      <c r="G43" s="417">
        <f t="shared" ref="G43:AR43" si="16">G$30*$D$40*$D$41*$D$42</f>
        <v>0</v>
      </c>
      <c r="H43" s="417">
        <f t="shared" si="16"/>
        <v>0</v>
      </c>
      <c r="I43" s="417">
        <f t="shared" si="16"/>
        <v>0</v>
      </c>
      <c r="J43" s="417">
        <f t="shared" si="16"/>
        <v>0</v>
      </c>
      <c r="K43" s="417">
        <f t="shared" si="16"/>
        <v>132.405</v>
      </c>
      <c r="L43" s="417">
        <f t="shared" si="16"/>
        <v>153.72391304347823</v>
      </c>
      <c r="M43" s="417">
        <f t="shared" si="16"/>
        <v>175.0428260869565</v>
      </c>
      <c r="N43" s="417">
        <f t="shared" si="16"/>
        <v>196.36173913043476</v>
      </c>
      <c r="O43" s="417">
        <f t="shared" si="16"/>
        <v>217.68065217391302</v>
      </c>
      <c r="P43" s="417">
        <f t="shared" si="16"/>
        <v>238.99956521739125</v>
      </c>
      <c r="Q43" s="417">
        <f t="shared" si="16"/>
        <v>260.31847826086948</v>
      </c>
      <c r="R43" s="417">
        <f t="shared" si="16"/>
        <v>281.63739130434777</v>
      </c>
      <c r="S43" s="417">
        <f t="shared" si="16"/>
        <v>302.95630434782601</v>
      </c>
      <c r="T43" s="417">
        <f t="shared" si="16"/>
        <v>324.27521739130435</v>
      </c>
      <c r="U43" s="417">
        <f t="shared" si="16"/>
        <v>345.59413043478258</v>
      </c>
      <c r="V43" s="417">
        <f t="shared" si="16"/>
        <v>366.91304347826087</v>
      </c>
      <c r="W43" s="417">
        <f t="shared" si="16"/>
        <v>388.23195652173916</v>
      </c>
      <c r="X43" s="417">
        <f t="shared" si="16"/>
        <v>409.55086956521745</v>
      </c>
      <c r="Y43" s="417">
        <f t="shared" si="16"/>
        <v>430.86978260869574</v>
      </c>
      <c r="Z43" s="417">
        <f t="shared" si="16"/>
        <v>452.18869565217403</v>
      </c>
      <c r="AA43" s="417">
        <f t="shared" si="16"/>
        <v>473.50760869565232</v>
      </c>
      <c r="AB43" s="417">
        <f t="shared" si="16"/>
        <v>494.82652173913061</v>
      </c>
      <c r="AC43" s="417">
        <f t="shared" si="16"/>
        <v>516.14543478260885</v>
      </c>
      <c r="AD43" s="417">
        <f t="shared" si="16"/>
        <v>537.46434782608719</v>
      </c>
      <c r="AE43" s="417">
        <f t="shared" si="16"/>
        <v>558.78326086956542</v>
      </c>
      <c r="AF43" s="417">
        <f t="shared" si="16"/>
        <v>580.10217391304366</v>
      </c>
      <c r="AG43" s="417">
        <f t="shared" si="16"/>
        <v>601.42108695652212</v>
      </c>
      <c r="AH43" s="417">
        <f t="shared" si="16"/>
        <v>622.74000000000035</v>
      </c>
      <c r="AI43" s="417">
        <f t="shared" si="16"/>
        <v>644.0589130434787</v>
      </c>
      <c r="AJ43" s="417">
        <f t="shared" si="16"/>
        <v>665.37782608695693</v>
      </c>
      <c r="AK43" s="417">
        <f t="shared" si="16"/>
        <v>686.69673913043516</v>
      </c>
      <c r="AL43" s="417">
        <f t="shared" si="16"/>
        <v>708.01565217391351</v>
      </c>
      <c r="AM43" s="417">
        <f t="shared" si="16"/>
        <v>729.33456521739174</v>
      </c>
      <c r="AN43" s="417">
        <f t="shared" si="16"/>
        <v>750.65347826087009</v>
      </c>
      <c r="AO43" s="417">
        <f t="shared" si="16"/>
        <v>771.97239130434832</v>
      </c>
      <c r="AP43" s="417">
        <f t="shared" si="16"/>
        <v>793.29130434782667</v>
      </c>
      <c r="AQ43" s="417">
        <f t="shared" si="16"/>
        <v>814.6102173913049</v>
      </c>
      <c r="AR43" s="417">
        <f t="shared" si="16"/>
        <v>835.92913043478313</v>
      </c>
    </row>
    <row r="44" spans="1:44" ht="15" x14ac:dyDescent="0.25">
      <c r="A44" s="2"/>
      <c r="B44" s="380"/>
      <c r="C44" s="11"/>
      <c r="D44" s="459"/>
      <c r="E44" s="380"/>
      <c r="F44" s="417"/>
      <c r="G44" s="417"/>
      <c r="H44" s="417"/>
      <c r="I44" s="417"/>
      <c r="J44" s="417"/>
      <c r="K44" s="417"/>
      <c r="L44" s="417"/>
      <c r="M44" s="417"/>
      <c r="N44" s="417"/>
      <c r="O44" s="417"/>
      <c r="P44" s="417"/>
      <c r="Q44" s="417"/>
      <c r="R44" s="417"/>
      <c r="S44" s="417"/>
      <c r="T44" s="417"/>
      <c r="U44" s="417"/>
      <c r="V44" s="417"/>
      <c r="W44" s="417"/>
      <c r="X44" s="417"/>
      <c r="Y44" s="417"/>
      <c r="Z44" s="417"/>
      <c r="AA44" s="417"/>
      <c r="AB44" s="417"/>
      <c r="AC44" s="417"/>
      <c r="AD44" s="417"/>
      <c r="AE44" s="417"/>
      <c r="AF44" s="417"/>
      <c r="AG44" s="417"/>
      <c r="AH44" s="417"/>
      <c r="AI44" s="417"/>
      <c r="AJ44" s="417"/>
      <c r="AK44" s="417"/>
      <c r="AL44" s="417"/>
      <c r="AM44" s="417"/>
      <c r="AN44" s="417"/>
      <c r="AO44" s="417"/>
      <c r="AP44" s="417"/>
      <c r="AQ44" s="417"/>
      <c r="AR44" s="417"/>
    </row>
    <row r="45" spans="1:44" ht="15" x14ac:dyDescent="0.25">
      <c r="A45" s="380"/>
      <c r="B45" s="2" t="s">
        <v>308</v>
      </c>
      <c r="C45" s="181"/>
      <c r="D45" s="440"/>
      <c r="E45" s="380"/>
      <c r="F45" s="417"/>
      <c r="G45" s="417"/>
      <c r="H45" s="417"/>
      <c r="I45" s="417"/>
      <c r="J45" s="417"/>
      <c r="K45" s="417"/>
      <c r="L45" s="417"/>
      <c r="M45" s="417"/>
      <c r="N45" s="417"/>
      <c r="O45" s="417"/>
      <c r="P45" s="417"/>
      <c r="Q45" s="417"/>
      <c r="R45" s="417"/>
      <c r="S45" s="417"/>
      <c r="T45" s="417"/>
      <c r="U45" s="417"/>
      <c r="V45" s="417"/>
      <c r="W45" s="417"/>
      <c r="X45" s="417"/>
      <c r="Y45" s="417"/>
      <c r="Z45" s="417"/>
      <c r="AA45" s="417"/>
      <c r="AB45" s="417"/>
      <c r="AC45" s="417"/>
      <c r="AD45" s="417"/>
      <c r="AE45" s="417"/>
      <c r="AF45" s="417"/>
      <c r="AG45" s="417"/>
      <c r="AH45" s="417"/>
      <c r="AI45" s="417"/>
      <c r="AJ45" s="417"/>
      <c r="AK45" s="417"/>
      <c r="AL45" s="417"/>
      <c r="AM45" s="417"/>
      <c r="AN45" s="417"/>
      <c r="AO45" s="417"/>
      <c r="AP45" s="417"/>
      <c r="AQ45" s="417"/>
      <c r="AR45" s="417"/>
    </row>
    <row r="46" spans="1:44" ht="15" x14ac:dyDescent="0.25">
      <c r="A46" s="2"/>
      <c r="B46" s="380" t="s">
        <v>308</v>
      </c>
      <c r="C46" s="181" t="s">
        <v>309</v>
      </c>
      <c r="D46" s="440">
        <f>SUM(F46:AR46)</f>
        <v>456427.52016086981</v>
      </c>
      <c r="E46" s="380"/>
      <c r="F46" s="417">
        <f>F37+F43</f>
        <v>0</v>
      </c>
      <c r="G46" s="417">
        <f t="shared" ref="G46:AR46" si="17">G37+G43</f>
        <v>0</v>
      </c>
      <c r="H46" s="417">
        <f t="shared" si="17"/>
        <v>0</v>
      </c>
      <c r="I46" s="417">
        <f t="shared" si="17"/>
        <v>0</v>
      </c>
      <c r="J46" s="417">
        <f t="shared" si="17"/>
        <v>0</v>
      </c>
      <c r="K46" s="417">
        <f t="shared" si="17"/>
        <v>3671.1493</v>
      </c>
      <c r="L46" s="417">
        <f t="shared" si="17"/>
        <v>4262.251695652174</v>
      </c>
      <c r="M46" s="417">
        <f t="shared" si="17"/>
        <v>4853.354091304348</v>
      </c>
      <c r="N46" s="417">
        <f t="shared" si="17"/>
        <v>5444.456486956522</v>
      </c>
      <c r="O46" s="417">
        <f t="shared" si="17"/>
        <v>6035.558882608696</v>
      </c>
      <c r="P46" s="417">
        <f t="shared" si="17"/>
        <v>6626.6612782608699</v>
      </c>
      <c r="Q46" s="417">
        <f t="shared" si="17"/>
        <v>7217.763673913043</v>
      </c>
      <c r="R46" s="417">
        <f t="shared" si="17"/>
        <v>7808.866069565217</v>
      </c>
      <c r="S46" s="417">
        <f t="shared" si="17"/>
        <v>8399.968465217391</v>
      </c>
      <c r="T46" s="417">
        <f t="shared" si="17"/>
        <v>8991.0708608695659</v>
      </c>
      <c r="U46" s="417">
        <f t="shared" si="17"/>
        <v>9582.1732565217408</v>
      </c>
      <c r="V46" s="417">
        <f t="shared" si="17"/>
        <v>10173.275652173914</v>
      </c>
      <c r="W46" s="417">
        <f t="shared" si="17"/>
        <v>10764.378047826089</v>
      </c>
      <c r="X46" s="417">
        <f t="shared" si="17"/>
        <v>11355.480443478264</v>
      </c>
      <c r="Y46" s="417">
        <f t="shared" si="17"/>
        <v>11946.58283913044</v>
      </c>
      <c r="Z46" s="417">
        <f t="shared" si="17"/>
        <v>12537.685234782613</v>
      </c>
      <c r="AA46" s="417">
        <f t="shared" si="17"/>
        <v>13128.787630434788</v>
      </c>
      <c r="AB46" s="417">
        <f t="shared" si="17"/>
        <v>13719.890026086963</v>
      </c>
      <c r="AC46" s="417">
        <f t="shared" si="17"/>
        <v>14310.99242173914</v>
      </c>
      <c r="AD46" s="417">
        <f t="shared" si="17"/>
        <v>14902.094817391315</v>
      </c>
      <c r="AE46" s="417">
        <f t="shared" si="17"/>
        <v>15493.197213043488</v>
      </c>
      <c r="AF46" s="417">
        <f t="shared" si="17"/>
        <v>16084.299608695663</v>
      </c>
      <c r="AG46" s="417">
        <f t="shared" si="17"/>
        <v>16675.402004347834</v>
      </c>
      <c r="AH46" s="417">
        <f t="shared" si="17"/>
        <v>17266.504400000013</v>
      </c>
      <c r="AI46" s="417">
        <f t="shared" si="17"/>
        <v>17857.606795652187</v>
      </c>
      <c r="AJ46" s="417">
        <f t="shared" si="17"/>
        <v>18448.709191304362</v>
      </c>
      <c r="AK46" s="417">
        <f t="shared" si="17"/>
        <v>19039.811586956537</v>
      </c>
      <c r="AL46" s="417">
        <f t="shared" si="17"/>
        <v>19630.913982608708</v>
      </c>
      <c r="AM46" s="417">
        <f t="shared" si="17"/>
        <v>20222.016378260887</v>
      </c>
      <c r="AN46" s="417">
        <f t="shared" si="17"/>
        <v>20813.118773913058</v>
      </c>
      <c r="AO46" s="417">
        <f t="shared" si="17"/>
        <v>21404.221169565237</v>
      </c>
      <c r="AP46" s="417">
        <f t="shared" si="17"/>
        <v>21995.323565217408</v>
      </c>
      <c r="AQ46" s="417">
        <f t="shared" si="17"/>
        <v>22586.425960869587</v>
      </c>
      <c r="AR46" s="417">
        <f t="shared" si="17"/>
        <v>23177.528356521761</v>
      </c>
    </row>
    <row r="47" spans="1:44" ht="15" x14ac:dyDescent="0.25">
      <c r="A47" s="2"/>
      <c r="B47" s="380" t="s">
        <v>79</v>
      </c>
      <c r="C47" s="181" t="s">
        <v>80</v>
      </c>
      <c r="D47" s="440">
        <f>Inputs!$E$32</f>
        <v>365</v>
      </c>
      <c r="E47" s="380"/>
      <c r="F47" s="432"/>
      <c r="G47" s="432"/>
      <c r="H47" s="432"/>
      <c r="I47" s="432"/>
      <c r="J47" s="432"/>
      <c r="K47" s="432"/>
      <c r="L47" s="432"/>
      <c r="M47" s="432"/>
      <c r="N47" s="432"/>
      <c r="O47" s="432"/>
      <c r="P47" s="432"/>
      <c r="Q47" s="432"/>
      <c r="R47" s="432"/>
      <c r="S47" s="432"/>
      <c r="T47" s="432"/>
      <c r="U47" s="432"/>
      <c r="V47" s="432"/>
      <c r="W47" s="432"/>
      <c r="X47" s="432"/>
      <c r="Y47" s="432"/>
      <c r="Z47" s="432"/>
      <c r="AA47" s="432"/>
      <c r="AB47" s="432"/>
      <c r="AC47" s="432"/>
      <c r="AD47" s="432"/>
      <c r="AE47" s="432"/>
      <c r="AF47" s="432"/>
      <c r="AG47" s="432"/>
      <c r="AH47" s="432"/>
      <c r="AI47" s="432"/>
      <c r="AJ47" s="432"/>
      <c r="AK47" s="432"/>
      <c r="AL47" s="432"/>
      <c r="AM47" s="432"/>
      <c r="AN47" s="432"/>
      <c r="AO47" s="432"/>
      <c r="AP47" s="432"/>
      <c r="AQ47" s="432"/>
      <c r="AR47" s="432"/>
    </row>
    <row r="48" spans="1:44" x14ac:dyDescent="0.2">
      <c r="A48" s="380"/>
      <c r="B48" s="380" t="s">
        <v>303</v>
      </c>
      <c r="C48" s="181" t="s">
        <v>310</v>
      </c>
      <c r="D48" s="440">
        <f>SUM(F48:AR48)</f>
        <v>166596044.8587175</v>
      </c>
      <c r="E48" s="380"/>
      <c r="F48" s="417">
        <f>F46*$D$47</f>
        <v>0</v>
      </c>
      <c r="G48" s="417">
        <f t="shared" ref="G48:AR48" si="18">G46*$D$47</f>
        <v>0</v>
      </c>
      <c r="H48" s="417">
        <f t="shared" si="18"/>
        <v>0</v>
      </c>
      <c r="I48" s="417">
        <f t="shared" si="18"/>
        <v>0</v>
      </c>
      <c r="J48" s="417">
        <f t="shared" si="18"/>
        <v>0</v>
      </c>
      <c r="K48" s="417">
        <f t="shared" si="18"/>
        <v>1339969.4945</v>
      </c>
      <c r="L48" s="417">
        <f t="shared" si="18"/>
        <v>1555721.8689130435</v>
      </c>
      <c r="M48" s="417">
        <f t="shared" si="18"/>
        <v>1771474.243326087</v>
      </c>
      <c r="N48" s="417">
        <f t="shared" si="18"/>
        <v>1987226.6177391305</v>
      </c>
      <c r="O48" s="417">
        <f t="shared" si="18"/>
        <v>2202978.992152174</v>
      </c>
      <c r="P48" s="417">
        <f t="shared" si="18"/>
        <v>2418731.3665652177</v>
      </c>
      <c r="Q48" s="417">
        <f t="shared" si="18"/>
        <v>2634483.7409782605</v>
      </c>
      <c r="R48" s="417">
        <f t="shared" si="18"/>
        <v>2850236.1153913043</v>
      </c>
      <c r="S48" s="417">
        <f t="shared" si="18"/>
        <v>3065988.4898043475</v>
      </c>
      <c r="T48" s="417">
        <f t="shared" si="18"/>
        <v>3281740.8642173917</v>
      </c>
      <c r="U48" s="417">
        <f t="shared" si="18"/>
        <v>3497493.2386304354</v>
      </c>
      <c r="V48" s="417">
        <f t="shared" si="18"/>
        <v>3713245.6130434787</v>
      </c>
      <c r="W48" s="417">
        <f t="shared" si="18"/>
        <v>3928997.9874565224</v>
      </c>
      <c r="X48" s="417">
        <f t="shared" si="18"/>
        <v>4144750.3618695661</v>
      </c>
      <c r="Y48" s="417">
        <f t="shared" si="18"/>
        <v>4360502.7362826103</v>
      </c>
      <c r="Z48" s="417">
        <f t="shared" si="18"/>
        <v>4576255.1106956536</v>
      </c>
      <c r="AA48" s="417">
        <f t="shared" si="18"/>
        <v>4792007.4851086978</v>
      </c>
      <c r="AB48" s="417">
        <f t="shared" si="18"/>
        <v>5007759.859521742</v>
      </c>
      <c r="AC48" s="417">
        <f t="shared" si="18"/>
        <v>5223512.2339347862</v>
      </c>
      <c r="AD48" s="417">
        <f t="shared" si="18"/>
        <v>5439264.6083478304</v>
      </c>
      <c r="AE48" s="417">
        <f t="shared" si="18"/>
        <v>5655016.9827608727</v>
      </c>
      <c r="AF48" s="417">
        <f t="shared" si="18"/>
        <v>5870769.3571739169</v>
      </c>
      <c r="AG48" s="417">
        <f t="shared" si="18"/>
        <v>6086521.7315869592</v>
      </c>
      <c r="AH48" s="417">
        <f t="shared" si="18"/>
        <v>6302274.1060000043</v>
      </c>
      <c r="AI48" s="417">
        <f t="shared" si="18"/>
        <v>6518026.4804130485</v>
      </c>
      <c r="AJ48" s="417">
        <f t="shared" si="18"/>
        <v>6733778.8548260918</v>
      </c>
      <c r="AK48" s="417">
        <f t="shared" si="18"/>
        <v>6949531.229239136</v>
      </c>
      <c r="AL48" s="417">
        <f t="shared" si="18"/>
        <v>7165283.6036521783</v>
      </c>
      <c r="AM48" s="417">
        <f t="shared" si="18"/>
        <v>7381035.9780652234</v>
      </c>
      <c r="AN48" s="417">
        <f t="shared" si="18"/>
        <v>7596788.3524782667</v>
      </c>
      <c r="AO48" s="417">
        <f t="shared" si="18"/>
        <v>7812540.7268913118</v>
      </c>
      <c r="AP48" s="417">
        <f t="shared" si="18"/>
        <v>8028293.1013043541</v>
      </c>
      <c r="AQ48" s="417">
        <f t="shared" si="18"/>
        <v>8244045.4757173993</v>
      </c>
      <c r="AR48" s="417">
        <f t="shared" si="18"/>
        <v>8459797.8501304425</v>
      </c>
    </row>
    <row r="49" spans="1:44" x14ac:dyDescent="0.2">
      <c r="A49" s="380"/>
      <c r="B49" s="380"/>
      <c r="C49" s="181"/>
      <c r="D49" s="440"/>
      <c r="E49" s="380"/>
      <c r="F49" s="417"/>
      <c r="G49" s="417"/>
      <c r="H49" s="417"/>
      <c r="I49" s="417"/>
      <c r="J49" s="417"/>
      <c r="K49" s="417"/>
      <c r="L49" s="417"/>
      <c r="M49" s="417"/>
      <c r="N49" s="417"/>
      <c r="O49" s="417"/>
      <c r="P49" s="417"/>
      <c r="Q49" s="417"/>
      <c r="R49" s="417"/>
      <c r="S49" s="417"/>
      <c r="T49" s="417"/>
      <c r="U49" s="417"/>
      <c r="V49" s="417"/>
      <c r="W49" s="417"/>
      <c r="X49" s="417"/>
      <c r="Y49" s="417"/>
      <c r="Z49" s="417"/>
      <c r="AA49" s="417"/>
      <c r="AB49" s="417"/>
      <c r="AC49" s="417"/>
      <c r="AD49" s="417"/>
      <c r="AE49" s="417"/>
      <c r="AF49" s="417"/>
      <c r="AG49" s="417"/>
      <c r="AH49" s="417"/>
      <c r="AI49" s="417"/>
      <c r="AJ49" s="417"/>
      <c r="AK49" s="417"/>
      <c r="AL49" s="417"/>
      <c r="AM49" s="417"/>
      <c r="AN49" s="417"/>
      <c r="AO49" s="417"/>
      <c r="AP49" s="417"/>
      <c r="AQ49" s="417"/>
      <c r="AR49" s="417"/>
    </row>
    <row r="50" spans="1:44" ht="15" x14ac:dyDescent="0.25">
      <c r="A50" s="2" t="s">
        <v>271</v>
      </c>
      <c r="B50" s="380"/>
      <c r="C50" s="11"/>
      <c r="D50" s="459"/>
      <c r="E50" s="380"/>
      <c r="F50" s="417"/>
      <c r="G50" s="417"/>
      <c r="H50" s="417"/>
      <c r="I50" s="417"/>
      <c r="J50" s="417"/>
      <c r="K50" s="417"/>
      <c r="L50" s="417"/>
      <c r="M50" s="417"/>
      <c r="N50" s="417"/>
      <c r="O50" s="417"/>
      <c r="P50" s="417"/>
      <c r="Q50" s="417"/>
      <c r="R50" s="417"/>
      <c r="S50" s="417"/>
      <c r="T50" s="417"/>
      <c r="U50" s="417"/>
      <c r="V50" s="417"/>
      <c r="W50" s="417"/>
      <c r="X50" s="417"/>
      <c r="Y50" s="417"/>
      <c r="Z50" s="417"/>
      <c r="AA50" s="417"/>
      <c r="AB50" s="417"/>
      <c r="AC50" s="417"/>
      <c r="AD50" s="417"/>
      <c r="AE50" s="417"/>
      <c r="AF50" s="417"/>
      <c r="AG50" s="417"/>
      <c r="AH50" s="417"/>
      <c r="AI50" s="417"/>
      <c r="AJ50" s="417"/>
      <c r="AK50" s="417"/>
      <c r="AL50" s="417"/>
      <c r="AM50" s="417"/>
      <c r="AN50" s="417"/>
      <c r="AO50" s="417"/>
      <c r="AP50" s="417"/>
      <c r="AQ50" s="417"/>
      <c r="AR50" s="417"/>
    </row>
    <row r="51" spans="1:44" ht="15" x14ac:dyDescent="0.25">
      <c r="A51" s="2"/>
      <c r="B51" s="380" t="str">
        <f>Traffic!$B$54</f>
        <v>Pedestrian Forecast</v>
      </c>
      <c r="C51" s="11" t="s">
        <v>196</v>
      </c>
      <c r="D51" s="459"/>
      <c r="E51" s="380"/>
      <c r="F51" s="417">
        <f>Traffic!F$54</f>
        <v>66.680335831680836</v>
      </c>
      <c r="G51" s="417">
        <f>Traffic!G$54</f>
        <v>67.040359895154836</v>
      </c>
      <c r="H51" s="417">
        <f>Traffic!H$54</f>
        <v>67.402327819958614</v>
      </c>
      <c r="I51" s="417">
        <f>Traffic!I$54</f>
        <v>67.766250101493057</v>
      </c>
      <c r="J51" s="417">
        <f>Traffic!J$54</f>
        <v>68.132137291826353</v>
      </c>
      <c r="K51" s="417">
        <f>Traffic!K$54</f>
        <v>68.500000000000014</v>
      </c>
      <c r="L51" s="417">
        <f>Traffic!L$54</f>
        <v>68.869848892336449</v>
      </c>
      <c r="M51" s="417">
        <f>Traffic!M$54</f>
        <v>69.241694692748254</v>
      </c>
      <c r="N51" s="417">
        <f>Traffic!N$54</f>
        <v>69.615548183049142</v>
      </c>
      <c r="O51" s="417">
        <f>Traffic!O$54</f>
        <v>69.991420203266586</v>
      </c>
      <c r="P51" s="417">
        <f>Traffic!P$54</f>
        <v>70.369321651956099</v>
      </c>
      <c r="Q51" s="417">
        <f>Traffic!Q$54</f>
        <v>70.749263486517293</v>
      </c>
      <c r="R51" s="417">
        <f>Traffic!R$54</f>
        <v>71.131256723511555</v>
      </c>
      <c r="S51" s="417">
        <f>Traffic!S$54</f>
        <v>71.515312438981468</v>
      </c>
      <c r="T51" s="417">
        <f>Traffic!T$54</f>
        <v>71.901441768772003</v>
      </c>
      <c r="U51" s="417">
        <f>Traffic!U$54</f>
        <v>72.289655908853362</v>
      </c>
      <c r="V51" s="417">
        <f>Traffic!V$54</f>
        <v>72.679966115645641</v>
      </c>
      <c r="W51" s="417">
        <f>Traffic!W$54</f>
        <v>73.072383706345221</v>
      </c>
      <c r="X51" s="417">
        <f>Traffic!X$54</f>
        <v>73.466920059252885</v>
      </c>
      <c r="Y51" s="417">
        <f>Traffic!Y$54</f>
        <v>73.863586614103752</v>
      </c>
      <c r="Z51" s="417">
        <f>Traffic!Z$54</f>
        <v>74.262394872398971</v>
      </c>
      <c r="AA51" s="417">
        <f>Traffic!AA$54</f>
        <v>74.663356397739236</v>
      </c>
      <c r="AB51" s="417">
        <f>Traffic!AB$54</f>
        <v>75.066482816160033</v>
      </c>
      <c r="AC51" s="417">
        <f>Traffic!AC$54</f>
        <v>75.471785816468767</v>
      </c>
      <c r="AD51" s="417">
        <f>Traffic!AD$54</f>
        <v>75.879277150583704</v>
      </c>
      <c r="AE51" s="417">
        <f>Traffic!AE$54</f>
        <v>76.288968633874688</v>
      </c>
      <c r="AF51" s="417">
        <f>Traffic!AF$54</f>
        <v>76.700872145505741</v>
      </c>
      <c r="AG51" s="417">
        <f>Traffic!AG$54</f>
        <v>77.114999628779515</v>
      </c>
      <c r="AH51" s="417">
        <f>Traffic!AH$54</f>
        <v>77.531363091483584</v>
      </c>
      <c r="AI51" s="417">
        <f>Traffic!AI$54</f>
        <v>77.949974606238612</v>
      </c>
      <c r="AJ51" s="417">
        <f>Traffic!AJ$54</f>
        <v>78.370846310848407</v>
      </c>
      <c r="AK51" s="417">
        <f>Traffic!AK$54</f>
        <v>78.793990408651851</v>
      </c>
      <c r="AL51" s="417">
        <f>Traffic!AL$54</f>
        <v>79.219419168876783</v>
      </c>
      <c r="AM51" s="417">
        <f>Traffic!AM$54</f>
        <v>79.647144926995679</v>
      </c>
      <c r="AN51" s="417">
        <f>Traffic!AN$54</f>
        <v>80.077180085083398</v>
      </c>
      <c r="AO51" s="417">
        <f>Traffic!AO$54</f>
        <v>80.50953711217673</v>
      </c>
      <c r="AP51" s="417">
        <f>Traffic!AP$54</f>
        <v>80.944228544635962</v>
      </c>
      <c r="AQ51" s="417">
        <f>Traffic!AQ$54</f>
        <v>81.381266986508379</v>
      </c>
      <c r="AR51" s="417">
        <f>Traffic!AR$54</f>
        <v>81.820665109893724</v>
      </c>
    </row>
    <row r="52" spans="1:44" ht="15" x14ac:dyDescent="0.25">
      <c r="A52" s="2"/>
      <c r="B52" s="380" t="s">
        <v>311</v>
      </c>
      <c r="C52" s="11" t="s">
        <v>101</v>
      </c>
      <c r="D52" s="459">
        <f>Inputs!$E$72</f>
        <v>0.26515151515151514</v>
      </c>
      <c r="E52" s="380"/>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c r="AN52" s="417"/>
      <c r="AO52" s="417"/>
      <c r="AP52" s="417"/>
      <c r="AQ52" s="417"/>
      <c r="AR52" s="417"/>
    </row>
    <row r="53" spans="1:44" ht="15" x14ac:dyDescent="0.25">
      <c r="A53" s="2"/>
      <c r="B53" s="380" t="s">
        <v>312</v>
      </c>
      <c r="C53" s="11" t="s">
        <v>135</v>
      </c>
      <c r="D53" s="459">
        <f>Inputs!$E$74</f>
        <v>3.2</v>
      </c>
      <c r="E53" s="380"/>
      <c r="F53" s="417"/>
      <c r="G53" s="417"/>
      <c r="H53" s="417"/>
      <c r="I53" s="417"/>
      <c r="J53" s="417"/>
      <c r="K53" s="417"/>
      <c r="L53" s="417"/>
      <c r="M53" s="417"/>
      <c r="N53" s="417"/>
      <c r="O53" s="417"/>
      <c r="P53" s="417"/>
      <c r="Q53" s="417"/>
      <c r="R53" s="417"/>
      <c r="S53" s="417"/>
      <c r="T53" s="417"/>
      <c r="U53" s="417"/>
      <c r="V53" s="417"/>
      <c r="W53" s="417"/>
      <c r="X53" s="417"/>
      <c r="Y53" s="417"/>
      <c r="Z53" s="417"/>
      <c r="AA53" s="417"/>
      <c r="AB53" s="417"/>
      <c r="AC53" s="417"/>
      <c r="AD53" s="417"/>
      <c r="AE53" s="417"/>
      <c r="AF53" s="417"/>
      <c r="AG53" s="417"/>
      <c r="AH53" s="417"/>
      <c r="AI53" s="417"/>
      <c r="AJ53" s="417"/>
      <c r="AK53" s="417"/>
      <c r="AL53" s="417"/>
      <c r="AM53" s="417"/>
      <c r="AN53" s="417"/>
      <c r="AO53" s="417"/>
      <c r="AP53" s="417"/>
      <c r="AQ53" s="417"/>
      <c r="AR53" s="417"/>
    </row>
    <row r="54" spans="1:44" ht="15" x14ac:dyDescent="0.25">
      <c r="A54" s="2"/>
      <c r="B54" s="380" t="s">
        <v>313</v>
      </c>
      <c r="C54" s="11" t="s">
        <v>314</v>
      </c>
      <c r="D54" s="459">
        <f>D52/D53</f>
        <v>8.2859848484848481E-2</v>
      </c>
      <c r="E54" s="380"/>
      <c r="F54" s="417"/>
      <c r="G54" s="417"/>
      <c r="H54" s="417"/>
      <c r="I54" s="417"/>
      <c r="J54" s="417"/>
      <c r="K54" s="417"/>
      <c r="L54" s="417"/>
      <c r="M54" s="417"/>
      <c r="N54" s="417"/>
      <c r="O54" s="417"/>
      <c r="P54" s="417"/>
      <c r="Q54" s="417"/>
      <c r="R54" s="417"/>
      <c r="S54" s="417"/>
      <c r="T54" s="417"/>
      <c r="U54" s="417"/>
      <c r="V54" s="417"/>
      <c r="W54" s="417"/>
      <c r="X54" s="417"/>
      <c r="Y54" s="417"/>
      <c r="Z54" s="417"/>
      <c r="AA54" s="417"/>
      <c r="AB54" s="417"/>
      <c r="AC54" s="417"/>
      <c r="AD54" s="417"/>
      <c r="AE54" s="417"/>
      <c r="AF54" s="417"/>
      <c r="AG54" s="417"/>
      <c r="AH54" s="417"/>
      <c r="AI54" s="417"/>
      <c r="AJ54" s="417"/>
      <c r="AK54" s="417"/>
      <c r="AL54" s="417"/>
      <c r="AM54" s="417"/>
      <c r="AN54" s="417"/>
      <c r="AO54" s="417"/>
      <c r="AP54" s="417"/>
      <c r="AQ54" s="417"/>
      <c r="AR54" s="417"/>
    </row>
    <row r="55" spans="1:44" ht="15" x14ac:dyDescent="0.25">
      <c r="A55" s="2"/>
      <c r="B55" s="380" t="s">
        <v>315</v>
      </c>
      <c r="C55" s="11" t="s">
        <v>316</v>
      </c>
      <c r="D55" s="459"/>
      <c r="E55" s="380"/>
      <c r="F55" s="417">
        <f>F51*$D$54</f>
        <v>5.5251225239318869</v>
      </c>
      <c r="G55" s="417">
        <f t="shared" ref="G55:AR55" si="19">G51*$D$54</f>
        <v>5.5549540632822421</v>
      </c>
      <c r="H55" s="417">
        <f t="shared" si="19"/>
        <v>5.5849466706878585</v>
      </c>
      <c r="I55" s="417">
        <f t="shared" si="19"/>
        <v>5.6151012157960629</v>
      </c>
      <c r="J55" s="417">
        <f t="shared" si="19"/>
        <v>5.6454185729496267</v>
      </c>
      <c r="K55" s="417">
        <f t="shared" si="19"/>
        <v>5.675899621212122</v>
      </c>
      <c r="L55" s="417">
        <f t="shared" si="19"/>
        <v>5.7065452443934079</v>
      </c>
      <c r="M55" s="417">
        <f t="shared" si="19"/>
        <v>5.7373563310752571</v>
      </c>
      <c r="N55" s="417">
        <f t="shared" si="19"/>
        <v>5.7683337746371208</v>
      </c>
      <c r="O55" s="417">
        <f t="shared" si="19"/>
        <v>5.7994784732820319</v>
      </c>
      <c r="P55" s="417">
        <f t="shared" si="19"/>
        <v>5.8307913300626497</v>
      </c>
      <c r="Q55" s="417">
        <f t="shared" si="19"/>
        <v>5.8622732529074462</v>
      </c>
      <c r="R55" s="417">
        <f t="shared" si="19"/>
        <v>5.893925154647027</v>
      </c>
      <c r="S55" s="417">
        <f t="shared" si="19"/>
        <v>5.9257479530406041</v>
      </c>
      <c r="T55" s="417">
        <f t="shared" si="19"/>
        <v>5.9577425708026039</v>
      </c>
      <c r="U55" s="417">
        <f t="shared" si="19"/>
        <v>5.989909935629421</v>
      </c>
      <c r="V55" s="417">
        <f t="shared" si="19"/>
        <v>6.0222509802263193</v>
      </c>
      <c r="W55" s="417">
        <f t="shared" si="19"/>
        <v>6.0547666423344761</v>
      </c>
      <c r="X55" s="417">
        <f t="shared" si="19"/>
        <v>6.0874578647581696</v>
      </c>
      <c r="Y55" s="417">
        <f t="shared" si="19"/>
        <v>6.120325595392119</v>
      </c>
      <c r="Z55" s="417">
        <f t="shared" si="19"/>
        <v>6.1533707872489671</v>
      </c>
      <c r="AA55" s="417">
        <f t="shared" si="19"/>
        <v>6.1865943984869158</v>
      </c>
      <c r="AB55" s="417">
        <f t="shared" si="19"/>
        <v>6.2199973924375023</v>
      </c>
      <c r="AC55" s="417">
        <f t="shared" si="19"/>
        <v>6.2535807376335386</v>
      </c>
      <c r="AD55" s="417">
        <f t="shared" si="19"/>
        <v>6.2873454078371909</v>
      </c>
      <c r="AE55" s="417">
        <f t="shared" si="19"/>
        <v>6.321292382068215</v>
      </c>
      <c r="AF55" s="417">
        <f t="shared" si="19"/>
        <v>6.3554226446323412</v>
      </c>
      <c r="AG55" s="417">
        <f t="shared" si="19"/>
        <v>6.3897371851498175</v>
      </c>
      <c r="AH55" s="417">
        <f t="shared" si="19"/>
        <v>6.4242369985841039</v>
      </c>
      <c r="AI55" s="417">
        <f t="shared" si="19"/>
        <v>6.458923085270718</v>
      </c>
      <c r="AJ55" s="417">
        <f t="shared" si="19"/>
        <v>6.4937964509462454</v>
      </c>
      <c r="AK55" s="417">
        <f t="shared" si="19"/>
        <v>6.5288581067774967</v>
      </c>
      <c r="AL55" s="417">
        <f t="shared" si="19"/>
        <v>6.5641090693908319</v>
      </c>
      <c r="AM55" s="417">
        <f t="shared" si="19"/>
        <v>6.5995503609016302</v>
      </c>
      <c r="AN55" s="417">
        <f t="shared" si="19"/>
        <v>6.6351830089439368</v>
      </c>
      <c r="AO55" s="417">
        <f t="shared" si="19"/>
        <v>6.6710080467002495</v>
      </c>
      <c r="AP55" s="417">
        <f t="shared" si="19"/>
        <v>6.707026512931483</v>
      </c>
      <c r="AQ55" s="417">
        <f t="shared" si="19"/>
        <v>6.743239452007086</v>
      </c>
      <c r="AR55" s="417">
        <f t="shared" si="19"/>
        <v>6.7796479139353227</v>
      </c>
    </row>
    <row r="56" spans="1:44" ht="15" x14ac:dyDescent="0.25">
      <c r="A56" s="2"/>
      <c r="B56" s="380"/>
      <c r="C56" s="11"/>
      <c r="D56" s="459"/>
      <c r="E56" s="380"/>
      <c r="F56" s="417"/>
      <c r="G56" s="417"/>
      <c r="H56" s="417"/>
      <c r="I56" s="417"/>
      <c r="J56" s="417"/>
      <c r="K56" s="417"/>
      <c r="L56" s="417"/>
      <c r="M56" s="417"/>
      <c r="N56" s="417"/>
      <c r="O56" s="417"/>
      <c r="P56" s="417"/>
      <c r="Q56" s="417"/>
      <c r="R56" s="417"/>
      <c r="S56" s="417"/>
      <c r="T56" s="417"/>
      <c r="U56" s="417"/>
      <c r="V56" s="417"/>
      <c r="W56" s="417"/>
      <c r="X56" s="417"/>
      <c r="Y56" s="417"/>
      <c r="Z56" s="417"/>
      <c r="AA56" s="417"/>
      <c r="AB56" s="417"/>
      <c r="AC56" s="417"/>
      <c r="AD56" s="417"/>
      <c r="AE56" s="417"/>
      <c r="AF56" s="417"/>
      <c r="AG56" s="417"/>
      <c r="AH56" s="417"/>
      <c r="AI56" s="417"/>
      <c r="AJ56" s="417"/>
      <c r="AK56" s="417"/>
      <c r="AL56" s="417"/>
      <c r="AM56" s="417"/>
      <c r="AN56" s="417"/>
      <c r="AO56" s="417"/>
      <c r="AP56" s="417"/>
      <c r="AQ56" s="417"/>
      <c r="AR56" s="417"/>
    </row>
    <row r="57" spans="1:44" ht="15" x14ac:dyDescent="0.25">
      <c r="A57" s="2"/>
      <c r="B57" s="2" t="s">
        <v>304</v>
      </c>
      <c r="C57" s="11"/>
      <c r="D57" s="459"/>
      <c r="E57" s="380"/>
      <c r="F57" s="417"/>
      <c r="G57" s="417"/>
      <c r="H57" s="417"/>
      <c r="I57" s="417"/>
      <c r="J57" s="417"/>
      <c r="K57" s="417"/>
      <c r="L57" s="417"/>
      <c r="M57" s="417"/>
      <c r="N57" s="417"/>
      <c r="O57" s="417"/>
      <c r="P57" s="417"/>
      <c r="Q57" s="417"/>
      <c r="R57" s="417"/>
      <c r="S57" s="417"/>
      <c r="T57" s="417"/>
      <c r="U57" s="417"/>
      <c r="V57" s="417"/>
      <c r="W57" s="417"/>
      <c r="X57" s="417"/>
      <c r="Y57" s="417"/>
      <c r="Z57" s="417"/>
      <c r="AA57" s="417"/>
      <c r="AB57" s="417"/>
      <c r="AC57" s="417"/>
      <c r="AD57" s="417"/>
      <c r="AE57" s="417"/>
      <c r="AF57" s="417"/>
      <c r="AG57" s="417"/>
      <c r="AH57" s="417"/>
      <c r="AI57" s="417"/>
      <c r="AJ57" s="417"/>
      <c r="AK57" s="417"/>
      <c r="AL57" s="417"/>
      <c r="AM57" s="417"/>
      <c r="AN57" s="417"/>
      <c r="AO57" s="417"/>
      <c r="AP57" s="417"/>
      <c r="AQ57" s="417"/>
      <c r="AR57" s="417"/>
    </row>
    <row r="58" spans="1:44" ht="15" x14ac:dyDescent="0.25">
      <c r="A58" s="2"/>
      <c r="B58" s="380" t="str">
        <f>Inputs!C79</f>
        <v>Walking, Cycling, Waiting, Standing, and Transfer Time</v>
      </c>
      <c r="C58" s="11" t="s">
        <v>139</v>
      </c>
      <c r="D58" s="462">
        <f>Inputs!$E$79</f>
        <v>38.799999999999997</v>
      </c>
      <c r="E58" s="380"/>
      <c r="F58" s="417"/>
      <c r="G58" s="417"/>
      <c r="H58" s="417"/>
      <c r="I58" s="417"/>
      <c r="J58" s="417"/>
      <c r="K58" s="417"/>
      <c r="L58" s="417"/>
      <c r="M58" s="417"/>
      <c r="N58" s="417"/>
      <c r="O58" s="417"/>
      <c r="P58" s="417"/>
      <c r="Q58" s="417"/>
      <c r="R58" s="417"/>
      <c r="S58" s="417"/>
      <c r="T58" s="417"/>
      <c r="U58" s="417"/>
      <c r="V58" s="417"/>
      <c r="W58" s="417"/>
      <c r="X58" s="417"/>
      <c r="Y58" s="417"/>
      <c r="Z58" s="417"/>
      <c r="AA58" s="417"/>
      <c r="AB58" s="417"/>
      <c r="AC58" s="417"/>
      <c r="AD58" s="417"/>
      <c r="AE58" s="417"/>
      <c r="AF58" s="417"/>
      <c r="AG58" s="417"/>
      <c r="AH58" s="417"/>
      <c r="AI58" s="417"/>
      <c r="AJ58" s="417"/>
      <c r="AK58" s="417"/>
      <c r="AL58" s="417"/>
      <c r="AM58" s="417"/>
      <c r="AN58" s="417"/>
      <c r="AO58" s="417"/>
      <c r="AP58" s="417"/>
      <c r="AQ58" s="417"/>
      <c r="AR58" s="417"/>
    </row>
    <row r="59" spans="1:44" x14ac:dyDescent="0.2">
      <c r="A59" s="380"/>
      <c r="B59" s="380" t="s">
        <v>317</v>
      </c>
      <c r="C59" s="11" t="s">
        <v>318</v>
      </c>
      <c r="D59" s="440">
        <f>SUM(F59:AR59)</f>
        <v>9278.2931872617646</v>
      </c>
      <c r="E59" s="380"/>
      <c r="F59" s="417">
        <f>F55*$D$58</f>
        <v>214.3747539285572</v>
      </c>
      <c r="G59" s="417">
        <f t="shared" ref="G59:AR59" si="20">G55*$D$58</f>
        <v>215.53221765535096</v>
      </c>
      <c r="H59" s="417">
        <f t="shared" si="20"/>
        <v>216.69593082268889</v>
      </c>
      <c r="I59" s="417">
        <f t="shared" si="20"/>
        <v>217.86592717288721</v>
      </c>
      <c r="J59" s="417">
        <f t="shared" si="20"/>
        <v>219.04224063044549</v>
      </c>
      <c r="K59" s="417">
        <f t="shared" si="20"/>
        <v>220.22490530303031</v>
      </c>
      <c r="L59" s="417">
        <f t="shared" si="20"/>
        <v>221.41395548246422</v>
      </c>
      <c r="M59" s="417">
        <f t="shared" si="20"/>
        <v>222.60942564571997</v>
      </c>
      <c r="N59" s="417">
        <f t="shared" si="20"/>
        <v>223.81135045592026</v>
      </c>
      <c r="O59" s="417">
        <f t="shared" si="20"/>
        <v>225.01976476334283</v>
      </c>
      <c r="P59" s="417">
        <f t="shared" si="20"/>
        <v>226.2347036064308</v>
      </c>
      <c r="Q59" s="417">
        <f t="shared" si="20"/>
        <v>227.4562022128089</v>
      </c>
      <c r="R59" s="417">
        <f t="shared" si="20"/>
        <v>228.68429600030464</v>
      </c>
      <c r="S59" s="417">
        <f t="shared" si="20"/>
        <v>229.91902057797543</v>
      </c>
      <c r="T59" s="417">
        <f t="shared" si="20"/>
        <v>231.16041174714101</v>
      </c>
      <c r="U59" s="417">
        <f t="shared" si="20"/>
        <v>232.40850550242152</v>
      </c>
      <c r="V59" s="417">
        <f t="shared" si="20"/>
        <v>233.66333803278118</v>
      </c>
      <c r="W59" s="417">
        <f t="shared" si="20"/>
        <v>234.92494572257766</v>
      </c>
      <c r="X59" s="417">
        <f t="shared" si="20"/>
        <v>236.19336515261696</v>
      </c>
      <c r="Y59" s="417">
        <f t="shared" si="20"/>
        <v>237.46863310121421</v>
      </c>
      <c r="Z59" s="417">
        <f t="shared" si="20"/>
        <v>238.7507865452599</v>
      </c>
      <c r="AA59" s="417">
        <f t="shared" si="20"/>
        <v>240.03986266129232</v>
      </c>
      <c r="AB59" s="417">
        <f t="shared" si="20"/>
        <v>241.33589882657506</v>
      </c>
      <c r="AC59" s="417">
        <f t="shared" si="20"/>
        <v>242.63893262018129</v>
      </c>
      <c r="AD59" s="417">
        <f t="shared" si="20"/>
        <v>243.94900182408298</v>
      </c>
      <c r="AE59" s="417">
        <f t="shared" si="20"/>
        <v>245.26614442424673</v>
      </c>
      <c r="AF59" s="417">
        <f t="shared" si="20"/>
        <v>246.59039861173483</v>
      </c>
      <c r="AG59" s="417">
        <f t="shared" si="20"/>
        <v>247.92180278381289</v>
      </c>
      <c r="AH59" s="417">
        <f t="shared" si="20"/>
        <v>249.2603955450632</v>
      </c>
      <c r="AI59" s="417">
        <f t="shared" si="20"/>
        <v>250.60621570850384</v>
      </c>
      <c r="AJ59" s="417">
        <f t="shared" si="20"/>
        <v>251.9593022967143</v>
      </c>
      <c r="AK59" s="417">
        <f t="shared" si="20"/>
        <v>253.31969454296686</v>
      </c>
      <c r="AL59" s="417">
        <f t="shared" si="20"/>
        <v>254.68743189236426</v>
      </c>
      <c r="AM59" s="417">
        <f t="shared" si="20"/>
        <v>256.06255400298323</v>
      </c>
      <c r="AN59" s="417">
        <f t="shared" si="20"/>
        <v>257.44510074702475</v>
      </c>
      <c r="AO59" s="417">
        <f t="shared" si="20"/>
        <v>258.83511221196966</v>
      </c>
      <c r="AP59" s="417">
        <f t="shared" si="20"/>
        <v>260.23262870174153</v>
      </c>
      <c r="AQ59" s="417">
        <f t="shared" si="20"/>
        <v>261.63769073787489</v>
      </c>
      <c r="AR59" s="417">
        <f t="shared" si="20"/>
        <v>263.05033906069048</v>
      </c>
    </row>
    <row r="60" spans="1:44" x14ac:dyDescent="0.2">
      <c r="A60" s="380"/>
      <c r="B60" s="380" t="s">
        <v>79</v>
      </c>
      <c r="C60" s="181" t="s">
        <v>80</v>
      </c>
      <c r="D60" s="440">
        <f>Inputs!$E$32</f>
        <v>365</v>
      </c>
      <c r="E60" s="380"/>
      <c r="F60" s="417"/>
      <c r="G60" s="417"/>
      <c r="H60" s="417"/>
      <c r="I60" s="417"/>
      <c r="J60" s="417"/>
      <c r="K60" s="417"/>
      <c r="L60" s="417"/>
      <c r="M60" s="417"/>
      <c r="N60" s="417"/>
      <c r="O60" s="417"/>
      <c r="P60" s="417"/>
      <c r="Q60" s="417"/>
      <c r="R60" s="417"/>
      <c r="S60" s="417"/>
      <c r="T60" s="417"/>
      <c r="U60" s="417"/>
      <c r="V60" s="417"/>
      <c r="W60" s="417"/>
      <c r="X60" s="417"/>
      <c r="Y60" s="417"/>
      <c r="Z60" s="417"/>
      <c r="AA60" s="417"/>
      <c r="AB60" s="417"/>
      <c r="AC60" s="417"/>
      <c r="AD60" s="417"/>
      <c r="AE60" s="417"/>
      <c r="AF60" s="417"/>
      <c r="AG60" s="417"/>
      <c r="AH60" s="417"/>
      <c r="AI60" s="417"/>
      <c r="AJ60" s="417"/>
      <c r="AK60" s="417"/>
      <c r="AL60" s="417"/>
      <c r="AM60" s="417"/>
      <c r="AN60" s="417"/>
      <c r="AO60" s="417"/>
      <c r="AP60" s="417"/>
      <c r="AQ60" s="417"/>
      <c r="AR60" s="417"/>
    </row>
    <row r="61" spans="1:44" x14ac:dyDescent="0.2">
      <c r="A61" s="380"/>
      <c r="B61" s="380" t="s">
        <v>317</v>
      </c>
      <c r="C61" s="11" t="s">
        <v>310</v>
      </c>
      <c r="D61" s="440">
        <f>SUM(F61:AR61)</f>
        <v>3386577.0133505436</v>
      </c>
      <c r="E61" s="380"/>
      <c r="F61" s="417">
        <f>F59*$D$60</f>
        <v>78246.785183923377</v>
      </c>
      <c r="G61" s="417">
        <f t="shared" ref="G61:AR61" si="21">G59*$D$60</f>
        <v>78669.259444203097</v>
      </c>
      <c r="H61" s="417">
        <f t="shared" si="21"/>
        <v>79094.014750281451</v>
      </c>
      <c r="I61" s="417">
        <f t="shared" si="21"/>
        <v>79521.063418103833</v>
      </c>
      <c r="J61" s="417">
        <f t="shared" si="21"/>
        <v>79950.417830112608</v>
      </c>
      <c r="K61" s="417">
        <f t="shared" si="21"/>
        <v>80382.090435606064</v>
      </c>
      <c r="L61" s="417">
        <f t="shared" si="21"/>
        <v>80816.093751099441</v>
      </c>
      <c r="M61" s="417">
        <f t="shared" si="21"/>
        <v>81252.44036068779</v>
      </c>
      <c r="N61" s="417">
        <f t="shared" si="21"/>
        <v>81691.142916410899</v>
      </c>
      <c r="O61" s="417">
        <f t="shared" si="21"/>
        <v>82132.21413862014</v>
      </c>
      <c r="P61" s="417">
        <f t="shared" si="21"/>
        <v>82575.666816347235</v>
      </c>
      <c r="Q61" s="417">
        <f t="shared" si="21"/>
        <v>83021.513807675248</v>
      </c>
      <c r="R61" s="417">
        <f t="shared" si="21"/>
        <v>83469.768040111201</v>
      </c>
      <c r="S61" s="417">
        <f t="shared" si="21"/>
        <v>83920.442510961031</v>
      </c>
      <c r="T61" s="417">
        <f t="shared" si="21"/>
        <v>84373.550287706472</v>
      </c>
      <c r="U61" s="417">
        <f t="shared" si="21"/>
        <v>84829.104508383854</v>
      </c>
      <c r="V61" s="417">
        <f t="shared" si="21"/>
        <v>85287.118381965134</v>
      </c>
      <c r="W61" s="417">
        <f t="shared" si="21"/>
        <v>85747.605188740839</v>
      </c>
      <c r="X61" s="417">
        <f t="shared" si="21"/>
        <v>86210.578280705187</v>
      </c>
      <c r="Y61" s="417">
        <f t="shared" si="21"/>
        <v>86676.05108194318</v>
      </c>
      <c r="Z61" s="417">
        <f t="shared" si="21"/>
        <v>87144.037089019868</v>
      </c>
      <c r="AA61" s="417">
        <f t="shared" si="21"/>
        <v>87614.549871371695</v>
      </c>
      <c r="AB61" s="417">
        <f t="shared" si="21"/>
        <v>88087.603071699894</v>
      </c>
      <c r="AC61" s="417">
        <f t="shared" si="21"/>
        <v>88563.210406366168</v>
      </c>
      <c r="AD61" s="417">
        <f t="shared" si="21"/>
        <v>89041.385665790294</v>
      </c>
      <c r="AE61" s="417">
        <f t="shared" si="21"/>
        <v>89522.142714850052</v>
      </c>
      <c r="AF61" s="417">
        <f t="shared" si="21"/>
        <v>90005.495493283219</v>
      </c>
      <c r="AG61" s="417">
        <f t="shared" si="21"/>
        <v>90491.45801609171</v>
      </c>
      <c r="AH61" s="417">
        <f t="shared" si="21"/>
        <v>90980.044373948069</v>
      </c>
      <c r="AI61" s="417">
        <f t="shared" si="21"/>
        <v>91471.268733603894</v>
      </c>
      <c r="AJ61" s="417">
        <f t="shared" si="21"/>
        <v>91965.145338300717</v>
      </c>
      <c r="AK61" s="417">
        <f t="shared" si="21"/>
        <v>92461.68850818291</v>
      </c>
      <c r="AL61" s="417">
        <f t="shared" si="21"/>
        <v>92960.912640712952</v>
      </c>
      <c r="AM61" s="417">
        <f t="shared" si="21"/>
        <v>93462.832211088884</v>
      </c>
      <c r="AN61" s="417">
        <f t="shared" si="21"/>
        <v>93967.461772664028</v>
      </c>
      <c r="AO61" s="417">
        <f t="shared" si="21"/>
        <v>94474.815957368919</v>
      </c>
      <c r="AP61" s="417">
        <f t="shared" si="21"/>
        <v>94984.909476135654</v>
      </c>
      <c r="AQ61" s="417">
        <f t="shared" si="21"/>
        <v>95497.757119324335</v>
      </c>
      <c r="AR61" s="417">
        <f t="shared" si="21"/>
        <v>96013.373757152018</v>
      </c>
    </row>
    <row r="62" spans="1:44" x14ac:dyDescent="0.2">
      <c r="A62" s="380"/>
      <c r="B62" s="380"/>
      <c r="C62" s="10"/>
      <c r="D62" s="380"/>
      <c r="E62" s="380"/>
      <c r="F62" s="417"/>
      <c r="G62" s="417"/>
      <c r="H62" s="417"/>
      <c r="I62" s="417"/>
      <c r="J62" s="417"/>
      <c r="K62" s="417"/>
      <c r="L62" s="417"/>
      <c r="M62" s="417"/>
      <c r="N62" s="417"/>
      <c r="O62" s="417"/>
      <c r="P62" s="417"/>
      <c r="Q62" s="417"/>
      <c r="R62" s="417"/>
      <c r="S62" s="417"/>
      <c r="T62" s="417"/>
      <c r="U62" s="417"/>
      <c r="V62" s="417"/>
      <c r="W62" s="417"/>
      <c r="X62" s="417"/>
      <c r="Y62" s="417"/>
      <c r="Z62" s="417"/>
      <c r="AA62" s="417"/>
      <c r="AB62" s="417"/>
      <c r="AC62" s="417"/>
      <c r="AD62" s="417"/>
      <c r="AE62" s="417"/>
      <c r="AF62" s="417"/>
      <c r="AG62" s="417"/>
      <c r="AH62" s="417"/>
      <c r="AI62" s="417"/>
      <c r="AJ62" s="417"/>
      <c r="AK62" s="417"/>
      <c r="AL62" s="417"/>
      <c r="AM62" s="417"/>
      <c r="AN62" s="417"/>
      <c r="AO62" s="417"/>
      <c r="AP62" s="417"/>
      <c r="AQ62" s="417"/>
      <c r="AR62" s="417"/>
    </row>
    <row r="63" spans="1:44" ht="15" x14ac:dyDescent="0.25">
      <c r="A63" s="2" t="s">
        <v>319</v>
      </c>
      <c r="B63" s="380"/>
      <c r="C63" s="181"/>
      <c r="D63" s="440"/>
      <c r="E63" s="380"/>
      <c r="F63" s="417"/>
      <c r="G63" s="417"/>
      <c r="H63" s="417"/>
      <c r="I63" s="417"/>
      <c r="J63" s="417"/>
      <c r="K63" s="417"/>
      <c r="L63" s="417"/>
      <c r="M63" s="417"/>
      <c r="N63" s="417"/>
      <c r="O63" s="417"/>
      <c r="P63" s="417"/>
      <c r="Q63" s="417"/>
      <c r="R63" s="417"/>
      <c r="S63" s="417"/>
      <c r="T63" s="417"/>
      <c r="U63" s="417"/>
      <c r="V63" s="417"/>
      <c r="W63" s="417"/>
      <c r="X63" s="417"/>
      <c r="Y63" s="417"/>
      <c r="Z63" s="417"/>
      <c r="AA63" s="417"/>
      <c r="AB63" s="417"/>
      <c r="AC63" s="417"/>
      <c r="AD63" s="417"/>
      <c r="AE63" s="417"/>
      <c r="AF63" s="417"/>
      <c r="AG63" s="417"/>
      <c r="AH63" s="417"/>
      <c r="AI63" s="417"/>
      <c r="AJ63" s="417"/>
      <c r="AK63" s="417"/>
      <c r="AL63" s="417"/>
      <c r="AM63" s="417"/>
      <c r="AN63" s="417"/>
      <c r="AO63" s="417"/>
      <c r="AP63" s="417"/>
      <c r="AQ63" s="417"/>
      <c r="AR63" s="417"/>
    </row>
    <row r="64" spans="1:44" x14ac:dyDescent="0.2">
      <c r="A64" s="380"/>
      <c r="B64" s="380" t="s">
        <v>320</v>
      </c>
      <c r="C64" s="11" t="s">
        <v>310</v>
      </c>
      <c r="D64" s="440">
        <f>SUM(F64:AR64)</f>
        <v>169982621.87206799</v>
      </c>
      <c r="E64" s="380"/>
      <c r="F64" s="417">
        <f>F48+F61</f>
        <v>78246.785183923377</v>
      </c>
      <c r="G64" s="417">
        <f t="shared" ref="G64:AR64" si="22">G48+G61</f>
        <v>78669.259444203097</v>
      </c>
      <c r="H64" s="417">
        <f t="shared" si="22"/>
        <v>79094.014750281451</v>
      </c>
      <c r="I64" s="417">
        <f t="shared" si="22"/>
        <v>79521.063418103833</v>
      </c>
      <c r="J64" s="417">
        <f t="shared" si="22"/>
        <v>79950.417830112608</v>
      </c>
      <c r="K64" s="417">
        <f t="shared" si="22"/>
        <v>1420351.584935606</v>
      </c>
      <c r="L64" s="417">
        <f t="shared" si="22"/>
        <v>1636537.9626641429</v>
      </c>
      <c r="M64" s="417">
        <f t="shared" si="22"/>
        <v>1852726.6836867747</v>
      </c>
      <c r="N64" s="417">
        <f t="shared" si="22"/>
        <v>2068917.7606555414</v>
      </c>
      <c r="O64" s="417">
        <f t="shared" si="22"/>
        <v>2285111.2062907941</v>
      </c>
      <c r="P64" s="417">
        <f t="shared" si="22"/>
        <v>2501307.033381565</v>
      </c>
      <c r="Q64" s="417">
        <f t="shared" si="22"/>
        <v>2717505.2547859359</v>
      </c>
      <c r="R64" s="417">
        <f t="shared" si="22"/>
        <v>2933705.8834314155</v>
      </c>
      <c r="S64" s="417">
        <f t="shared" si="22"/>
        <v>3149908.9323153086</v>
      </c>
      <c r="T64" s="417">
        <f t="shared" si="22"/>
        <v>3366114.414505098</v>
      </c>
      <c r="U64" s="417">
        <f t="shared" si="22"/>
        <v>3582322.3431388191</v>
      </c>
      <c r="V64" s="417">
        <f t="shared" si="22"/>
        <v>3798532.7314254437</v>
      </c>
      <c r="W64" s="417">
        <f t="shared" si="22"/>
        <v>4014745.5926452633</v>
      </c>
      <c r="X64" s="417">
        <f t="shared" si="22"/>
        <v>4230960.9401502712</v>
      </c>
      <c r="Y64" s="417">
        <f t="shared" si="22"/>
        <v>4447178.7873645537</v>
      </c>
      <c r="Z64" s="417">
        <f t="shared" si="22"/>
        <v>4663399.1477846736</v>
      </c>
      <c r="AA64" s="417">
        <f t="shared" si="22"/>
        <v>4879622.0349800698</v>
      </c>
      <c r="AB64" s="417">
        <f t="shared" si="22"/>
        <v>5095847.4625934418</v>
      </c>
      <c r="AC64" s="417">
        <f t="shared" si="22"/>
        <v>5312075.444341152</v>
      </c>
      <c r="AD64" s="417">
        <f t="shared" si="22"/>
        <v>5528305.9940136205</v>
      </c>
      <c r="AE64" s="417">
        <f t="shared" si="22"/>
        <v>5744539.1254757224</v>
      </c>
      <c r="AF64" s="417">
        <f t="shared" si="22"/>
        <v>5960774.8526672004</v>
      </c>
      <c r="AG64" s="417">
        <f t="shared" si="22"/>
        <v>6177013.1896030512</v>
      </c>
      <c r="AH64" s="417">
        <f t="shared" si="22"/>
        <v>6393254.1503739525</v>
      </c>
      <c r="AI64" s="417">
        <f t="shared" si="22"/>
        <v>6609497.7491466524</v>
      </c>
      <c r="AJ64" s="417">
        <f t="shared" si="22"/>
        <v>6825744.0001643924</v>
      </c>
      <c r="AK64" s="417">
        <f t="shared" si="22"/>
        <v>7041992.9177473187</v>
      </c>
      <c r="AL64" s="417">
        <f t="shared" si="22"/>
        <v>7258244.5162928915</v>
      </c>
      <c r="AM64" s="417">
        <f t="shared" si="22"/>
        <v>7474498.8102763128</v>
      </c>
      <c r="AN64" s="417">
        <f t="shared" si="22"/>
        <v>7690755.8142509311</v>
      </c>
      <c r="AO64" s="417">
        <f t="shared" si="22"/>
        <v>7907015.5428486811</v>
      </c>
      <c r="AP64" s="417">
        <f t="shared" si="22"/>
        <v>8123278.01078049</v>
      </c>
      <c r="AQ64" s="417">
        <f t="shared" si="22"/>
        <v>8339543.2328367233</v>
      </c>
      <c r="AR64" s="417">
        <f t="shared" si="22"/>
        <v>8555811.2238875944</v>
      </c>
    </row>
    <row r="65" spans="1:44" x14ac:dyDescent="0.2">
      <c r="A65" s="380"/>
      <c r="B65" s="380"/>
      <c r="C65" s="11"/>
      <c r="D65" s="380"/>
      <c r="E65" s="380"/>
      <c r="F65" s="463"/>
      <c r="G65" s="463"/>
      <c r="H65" s="463"/>
      <c r="I65" s="463"/>
      <c r="J65" s="463"/>
      <c r="K65" s="463"/>
      <c r="L65" s="463"/>
      <c r="M65" s="463"/>
      <c r="N65" s="463"/>
      <c r="O65" s="463"/>
      <c r="P65" s="463"/>
      <c r="Q65" s="463"/>
      <c r="R65" s="463"/>
      <c r="S65" s="463"/>
      <c r="T65" s="463"/>
      <c r="U65" s="463"/>
      <c r="V65" s="463"/>
      <c r="W65" s="463"/>
      <c r="X65" s="463"/>
      <c r="Y65" s="463"/>
      <c r="Z65" s="463"/>
      <c r="AA65" s="463"/>
      <c r="AB65" s="463"/>
      <c r="AC65" s="463"/>
      <c r="AD65" s="463"/>
      <c r="AE65" s="463"/>
      <c r="AF65" s="463"/>
      <c r="AG65" s="463"/>
      <c r="AH65" s="463"/>
      <c r="AI65" s="463"/>
      <c r="AJ65" s="463"/>
      <c r="AK65" s="463"/>
      <c r="AL65" s="463"/>
      <c r="AM65" s="463"/>
      <c r="AN65" s="463"/>
      <c r="AO65" s="463"/>
      <c r="AP65" s="463"/>
      <c r="AQ65" s="463"/>
      <c r="AR65" s="463"/>
    </row>
    <row r="66" spans="1:44" s="4" customFormat="1" x14ac:dyDescent="0.2">
      <c r="A66" s="449" t="s">
        <v>255</v>
      </c>
      <c r="B66" s="8"/>
      <c r="C66" s="182"/>
      <c r="D66" s="450"/>
      <c r="E66" s="450"/>
      <c r="F66" s="450"/>
      <c r="G66" s="450"/>
      <c r="H66" s="450"/>
      <c r="I66" s="450"/>
      <c r="J66" s="450"/>
      <c r="K66" s="450"/>
      <c r="L66" s="450"/>
      <c r="M66" s="450"/>
      <c r="N66" s="450"/>
      <c r="O66" s="450"/>
      <c r="P66" s="450"/>
      <c r="Q66" s="450"/>
      <c r="R66" s="450"/>
      <c r="S66" s="450"/>
      <c r="T66" s="450"/>
      <c r="U66" s="450"/>
      <c r="V66" s="450"/>
      <c r="W66" s="450"/>
      <c r="X66" s="450"/>
      <c r="Y66" s="450"/>
      <c r="Z66" s="450"/>
      <c r="AA66" s="450"/>
      <c r="AB66" s="450"/>
      <c r="AC66" s="450"/>
      <c r="AD66" s="450"/>
      <c r="AE66" s="450"/>
      <c r="AF66" s="450"/>
      <c r="AG66" s="450"/>
      <c r="AH66" s="450"/>
      <c r="AI66" s="450"/>
      <c r="AJ66" s="450"/>
      <c r="AK66" s="450"/>
      <c r="AL66" s="450"/>
      <c r="AM66" s="450"/>
      <c r="AN66" s="450"/>
      <c r="AO66" s="450"/>
      <c r="AP66" s="450"/>
      <c r="AQ66" s="450"/>
      <c r="AR66" s="450"/>
    </row>
    <row r="67" spans="1:44" ht="15" x14ac:dyDescent="0.25">
      <c r="A67" s="2" t="s">
        <v>285</v>
      </c>
      <c r="B67" s="380"/>
      <c r="C67" s="10"/>
      <c r="D67" s="380"/>
      <c r="E67" s="380"/>
      <c r="F67" s="380"/>
      <c r="G67" s="380"/>
      <c r="H67" s="380"/>
      <c r="I67" s="380"/>
      <c r="J67" s="380"/>
      <c r="K67" s="380"/>
      <c r="L67" s="380"/>
      <c r="M67" s="380"/>
      <c r="N67" s="380"/>
      <c r="O67" s="380"/>
      <c r="P67" s="380"/>
      <c r="Q67" s="380"/>
      <c r="R67" s="380"/>
      <c r="S67" s="380"/>
      <c r="T67" s="380"/>
      <c r="U67" s="380"/>
      <c r="V67" s="380"/>
      <c r="W67" s="380"/>
      <c r="X67" s="380"/>
      <c r="Y67" s="380"/>
      <c r="Z67" s="380"/>
      <c r="AA67" s="380"/>
      <c r="AB67" s="380"/>
      <c r="AC67" s="380"/>
      <c r="AD67" s="380"/>
      <c r="AE67" s="380"/>
      <c r="AF67" s="380"/>
      <c r="AG67" s="380"/>
      <c r="AH67" s="380"/>
      <c r="AI67" s="380"/>
      <c r="AJ67" s="380"/>
      <c r="AK67" s="380"/>
      <c r="AL67" s="380"/>
      <c r="AM67" s="380"/>
      <c r="AN67" s="380"/>
      <c r="AO67" s="380"/>
      <c r="AP67" s="380"/>
      <c r="AQ67" s="380"/>
      <c r="AR67" s="380"/>
    </row>
    <row r="68" spans="1:44" x14ac:dyDescent="0.2">
      <c r="A68" s="380"/>
      <c r="B68" s="380" t="s">
        <v>299</v>
      </c>
      <c r="C68" s="181" t="s">
        <v>112</v>
      </c>
      <c r="D68" s="440">
        <f t="shared" ref="D68" si="23">SUM(F68:AR68)</f>
        <v>876751.20000000054</v>
      </c>
      <c r="E68" s="380"/>
      <c r="F68" s="417">
        <f>Traffic!F58</f>
        <v>18734</v>
      </c>
      <c r="G68" s="417">
        <f>Traffic!G58</f>
        <v>18931.2</v>
      </c>
      <c r="H68" s="417">
        <f>Traffic!H58</f>
        <v>19128.400000000001</v>
      </c>
      <c r="I68" s="417">
        <f>Traffic!I58</f>
        <v>19325.600000000002</v>
      </c>
      <c r="J68" s="417">
        <f>Traffic!J58</f>
        <v>19522.800000000003</v>
      </c>
      <c r="K68" s="417">
        <f>Traffic!K58</f>
        <v>19720.000000000004</v>
      </c>
      <c r="L68" s="417">
        <f>Traffic!L58</f>
        <v>19917.200000000004</v>
      </c>
      <c r="M68" s="417">
        <f>Traffic!M58</f>
        <v>20114.400000000005</v>
      </c>
      <c r="N68" s="417">
        <f>Traffic!N58</f>
        <v>20311.600000000006</v>
      </c>
      <c r="O68" s="417">
        <f>Traffic!O58</f>
        <v>20508.800000000007</v>
      </c>
      <c r="P68" s="417">
        <f>Traffic!P58</f>
        <v>20706.000000000007</v>
      </c>
      <c r="Q68" s="417">
        <f>Traffic!Q58</f>
        <v>20903.200000000008</v>
      </c>
      <c r="R68" s="417">
        <f>Traffic!R58</f>
        <v>21100.400000000009</v>
      </c>
      <c r="S68" s="417">
        <f>Traffic!S58</f>
        <v>21297.600000000009</v>
      </c>
      <c r="T68" s="417">
        <f>Traffic!T58</f>
        <v>21494.80000000001</v>
      </c>
      <c r="U68" s="417">
        <f>Traffic!U58</f>
        <v>21692.000000000011</v>
      </c>
      <c r="V68" s="417">
        <f>Traffic!V58</f>
        <v>21889.200000000012</v>
      </c>
      <c r="W68" s="417">
        <f>Traffic!W58</f>
        <v>22086.400000000012</v>
      </c>
      <c r="X68" s="417">
        <f>Traffic!X58</f>
        <v>22283.600000000013</v>
      </c>
      <c r="Y68" s="417">
        <f>Traffic!Y58</f>
        <v>22480.800000000014</v>
      </c>
      <c r="Z68" s="417">
        <f>Traffic!Z58</f>
        <v>22678.000000000015</v>
      </c>
      <c r="AA68" s="417">
        <f>Traffic!AA58</f>
        <v>22875.200000000015</v>
      </c>
      <c r="AB68" s="417">
        <f>Traffic!AB58</f>
        <v>23072.400000000016</v>
      </c>
      <c r="AC68" s="417">
        <f>Traffic!AC58</f>
        <v>23269.600000000017</v>
      </c>
      <c r="AD68" s="417">
        <f>Traffic!AD58</f>
        <v>23466.800000000017</v>
      </c>
      <c r="AE68" s="417">
        <f>Traffic!AE58</f>
        <v>23664.000000000018</v>
      </c>
      <c r="AF68" s="417">
        <f>Traffic!AF58</f>
        <v>23861.200000000019</v>
      </c>
      <c r="AG68" s="417">
        <f>Traffic!AG58</f>
        <v>24058.40000000002</v>
      </c>
      <c r="AH68" s="417">
        <f>Traffic!AH58</f>
        <v>24255.60000000002</v>
      </c>
      <c r="AI68" s="417">
        <f>Traffic!AI58</f>
        <v>24452.800000000021</v>
      </c>
      <c r="AJ68" s="417">
        <f>Traffic!AJ58</f>
        <v>24650.000000000022</v>
      </c>
      <c r="AK68" s="417">
        <f>Traffic!AK58</f>
        <v>24847.200000000023</v>
      </c>
      <c r="AL68" s="417">
        <f>Traffic!AL58</f>
        <v>25044.400000000023</v>
      </c>
      <c r="AM68" s="417">
        <f>Traffic!AM58</f>
        <v>25241.600000000024</v>
      </c>
      <c r="AN68" s="417">
        <f>Traffic!AN58</f>
        <v>25438.800000000025</v>
      </c>
      <c r="AO68" s="417">
        <f>Traffic!AO58</f>
        <v>25636.000000000025</v>
      </c>
      <c r="AP68" s="417">
        <f>Traffic!AP58</f>
        <v>25833.200000000026</v>
      </c>
      <c r="AQ68" s="417">
        <f>Traffic!AQ58</f>
        <v>26030.400000000027</v>
      </c>
      <c r="AR68" s="417">
        <f>Traffic!AR58</f>
        <v>26227.600000000028</v>
      </c>
    </row>
    <row r="69" spans="1:44" x14ac:dyDescent="0.2">
      <c r="A69" s="380"/>
      <c r="B69" s="380"/>
      <c r="C69" s="181"/>
      <c r="D69" s="440"/>
      <c r="E69" s="380"/>
      <c r="F69" s="417"/>
      <c r="G69" s="417"/>
      <c r="H69" s="417"/>
      <c r="I69" s="417"/>
      <c r="J69" s="417"/>
      <c r="K69" s="417"/>
      <c r="L69" s="417"/>
      <c r="M69" s="417"/>
      <c r="N69" s="417"/>
      <c r="O69" s="417"/>
      <c r="P69" s="417"/>
      <c r="Q69" s="417"/>
      <c r="R69" s="417"/>
      <c r="S69" s="417"/>
      <c r="T69" s="417"/>
      <c r="U69" s="417"/>
      <c r="V69" s="417"/>
      <c r="W69" s="417"/>
      <c r="X69" s="417"/>
      <c r="Y69" s="417"/>
      <c r="Z69" s="417"/>
      <c r="AA69" s="417"/>
      <c r="AB69" s="417"/>
      <c r="AC69" s="417"/>
      <c r="AD69" s="417"/>
      <c r="AE69" s="417"/>
      <c r="AF69" s="417"/>
      <c r="AG69" s="417"/>
      <c r="AH69" s="417"/>
      <c r="AI69" s="417"/>
      <c r="AJ69" s="417"/>
      <c r="AK69" s="417"/>
      <c r="AL69" s="417"/>
      <c r="AM69" s="417"/>
      <c r="AN69" s="417"/>
      <c r="AO69" s="417"/>
      <c r="AP69" s="417"/>
      <c r="AQ69" s="417"/>
      <c r="AR69" s="417"/>
    </row>
    <row r="70" spans="1:44" ht="15" x14ac:dyDescent="0.25">
      <c r="A70" s="380"/>
      <c r="B70" s="2" t="s">
        <v>300</v>
      </c>
      <c r="C70" s="181"/>
      <c r="D70" s="440"/>
      <c r="E70" s="380"/>
      <c r="F70" s="417"/>
      <c r="G70" s="417"/>
      <c r="H70" s="417"/>
      <c r="I70" s="417"/>
      <c r="J70" s="417"/>
      <c r="K70" s="417"/>
      <c r="L70" s="417"/>
      <c r="M70" s="417"/>
      <c r="N70" s="417"/>
      <c r="O70" s="417"/>
      <c r="P70" s="417"/>
      <c r="Q70" s="417"/>
      <c r="R70" s="417"/>
      <c r="S70" s="417"/>
      <c r="T70" s="417"/>
      <c r="U70" s="417"/>
      <c r="V70" s="417"/>
      <c r="W70" s="417"/>
      <c r="X70" s="417"/>
      <c r="Y70" s="417"/>
      <c r="Z70" s="417"/>
      <c r="AA70" s="417"/>
      <c r="AB70" s="417"/>
      <c r="AC70" s="417"/>
      <c r="AD70" s="417"/>
      <c r="AE70" s="417"/>
      <c r="AF70" s="417"/>
      <c r="AG70" s="417"/>
      <c r="AH70" s="417"/>
      <c r="AI70" s="417"/>
      <c r="AJ70" s="417"/>
      <c r="AK70" s="417"/>
      <c r="AL70" s="417"/>
      <c r="AM70" s="417"/>
      <c r="AN70" s="417"/>
      <c r="AO70" s="417"/>
      <c r="AP70" s="417"/>
      <c r="AQ70" s="417"/>
      <c r="AR70" s="417"/>
    </row>
    <row r="71" spans="1:44" x14ac:dyDescent="0.2">
      <c r="A71" s="380"/>
      <c r="B71" s="380" t="s">
        <v>158</v>
      </c>
      <c r="C71" s="181" t="s">
        <v>159</v>
      </c>
      <c r="D71" s="408">
        <f>Inputs!$E$97</f>
        <v>73.75</v>
      </c>
      <c r="E71" s="380"/>
      <c r="F71" s="458">
        <f t="shared" ref="F71:AR71" si="24">IF(F7=$D$72,$D$71,0)</f>
        <v>0</v>
      </c>
      <c r="G71" s="458">
        <f t="shared" si="24"/>
        <v>0</v>
      </c>
      <c r="H71" s="458">
        <f t="shared" si="24"/>
        <v>0</v>
      </c>
      <c r="I71" s="458">
        <f t="shared" si="24"/>
        <v>0</v>
      </c>
      <c r="J71" s="458">
        <f t="shared" si="24"/>
        <v>0</v>
      </c>
      <c r="K71" s="458">
        <f t="shared" si="24"/>
        <v>73.75</v>
      </c>
      <c r="L71" s="458">
        <f t="shared" si="24"/>
        <v>0</v>
      </c>
      <c r="M71" s="458">
        <f t="shared" si="24"/>
        <v>0</v>
      </c>
      <c r="N71" s="458">
        <f t="shared" si="24"/>
        <v>0</v>
      </c>
      <c r="O71" s="458">
        <f t="shared" si="24"/>
        <v>0</v>
      </c>
      <c r="P71" s="458">
        <f t="shared" si="24"/>
        <v>0</v>
      </c>
      <c r="Q71" s="458">
        <f t="shared" si="24"/>
        <v>0</v>
      </c>
      <c r="R71" s="458">
        <f t="shared" si="24"/>
        <v>0</v>
      </c>
      <c r="S71" s="458">
        <f t="shared" si="24"/>
        <v>0</v>
      </c>
      <c r="T71" s="458">
        <f t="shared" si="24"/>
        <v>0</v>
      </c>
      <c r="U71" s="458">
        <f t="shared" si="24"/>
        <v>0</v>
      </c>
      <c r="V71" s="458">
        <f t="shared" si="24"/>
        <v>0</v>
      </c>
      <c r="W71" s="458">
        <f t="shared" si="24"/>
        <v>0</v>
      </c>
      <c r="X71" s="458">
        <f t="shared" si="24"/>
        <v>0</v>
      </c>
      <c r="Y71" s="458">
        <f t="shared" si="24"/>
        <v>0</v>
      </c>
      <c r="Z71" s="458">
        <f t="shared" si="24"/>
        <v>0</v>
      </c>
      <c r="AA71" s="458">
        <f t="shared" si="24"/>
        <v>0</v>
      </c>
      <c r="AB71" s="458">
        <f t="shared" si="24"/>
        <v>0</v>
      </c>
      <c r="AC71" s="458">
        <f t="shared" si="24"/>
        <v>0</v>
      </c>
      <c r="AD71" s="458">
        <f t="shared" si="24"/>
        <v>0</v>
      </c>
      <c r="AE71" s="458">
        <f t="shared" si="24"/>
        <v>0</v>
      </c>
      <c r="AF71" s="458">
        <f t="shared" si="24"/>
        <v>0</v>
      </c>
      <c r="AG71" s="458">
        <f t="shared" si="24"/>
        <v>0</v>
      </c>
      <c r="AH71" s="458">
        <f t="shared" si="24"/>
        <v>0</v>
      </c>
      <c r="AI71" s="458">
        <f t="shared" si="24"/>
        <v>0</v>
      </c>
      <c r="AJ71" s="458">
        <f t="shared" si="24"/>
        <v>0</v>
      </c>
      <c r="AK71" s="458">
        <f t="shared" si="24"/>
        <v>0</v>
      </c>
      <c r="AL71" s="458">
        <f t="shared" si="24"/>
        <v>0</v>
      </c>
      <c r="AM71" s="458">
        <f t="shared" si="24"/>
        <v>0</v>
      </c>
      <c r="AN71" s="458">
        <f t="shared" si="24"/>
        <v>0</v>
      </c>
      <c r="AO71" s="458">
        <f t="shared" si="24"/>
        <v>0</v>
      </c>
      <c r="AP71" s="458">
        <f t="shared" si="24"/>
        <v>0</v>
      </c>
      <c r="AQ71" s="458">
        <f t="shared" si="24"/>
        <v>0</v>
      </c>
      <c r="AR71" s="458">
        <f t="shared" si="24"/>
        <v>0</v>
      </c>
    </row>
    <row r="72" spans="1:44" x14ac:dyDescent="0.2">
      <c r="A72" s="380"/>
      <c r="B72" s="380" t="s">
        <v>119</v>
      </c>
      <c r="C72" s="181" t="s">
        <v>120</v>
      </c>
      <c r="D72" s="428">
        <f>Inputs!$E$98</f>
        <v>2023</v>
      </c>
      <c r="E72" s="380"/>
      <c r="F72" s="417"/>
      <c r="G72" s="417"/>
      <c r="H72" s="417"/>
      <c r="I72" s="417"/>
      <c r="J72" s="417"/>
      <c r="K72" s="417"/>
      <c r="L72" s="417"/>
      <c r="M72" s="417"/>
      <c r="N72" s="417"/>
      <c r="O72" s="417"/>
      <c r="P72" s="417"/>
      <c r="Q72" s="417"/>
      <c r="R72" s="417"/>
      <c r="S72" s="417"/>
      <c r="T72" s="417"/>
      <c r="U72" s="417"/>
      <c r="V72" s="417"/>
      <c r="W72" s="417"/>
      <c r="X72" s="417"/>
      <c r="Y72" s="417"/>
      <c r="Z72" s="417"/>
      <c r="AA72" s="417"/>
      <c r="AB72" s="417"/>
      <c r="AC72" s="417"/>
      <c r="AD72" s="417"/>
      <c r="AE72" s="417"/>
      <c r="AF72" s="417"/>
      <c r="AG72" s="417"/>
      <c r="AH72" s="417"/>
      <c r="AI72" s="417"/>
      <c r="AJ72" s="417"/>
      <c r="AK72" s="417"/>
      <c r="AL72" s="417"/>
      <c r="AM72" s="417"/>
      <c r="AN72" s="417"/>
      <c r="AO72" s="417"/>
      <c r="AP72" s="417"/>
      <c r="AQ72" s="417"/>
      <c r="AR72" s="417"/>
    </row>
    <row r="73" spans="1:44" x14ac:dyDescent="0.2">
      <c r="A73" s="380"/>
      <c r="B73" s="380" t="s">
        <v>161</v>
      </c>
      <c r="C73" s="181" t="s">
        <v>159</v>
      </c>
      <c r="D73" s="408">
        <f>Inputs!$E$99</f>
        <v>287.5</v>
      </c>
      <c r="E73" s="380"/>
      <c r="F73" s="417"/>
      <c r="G73" s="417"/>
      <c r="H73" s="417"/>
      <c r="I73" s="417"/>
      <c r="J73" s="417"/>
      <c r="K73" s="417"/>
      <c r="L73" s="417"/>
      <c r="M73" s="417"/>
      <c r="N73" s="417"/>
      <c r="O73" s="417"/>
      <c r="P73" s="417"/>
      <c r="Q73" s="417"/>
      <c r="R73" s="417"/>
      <c r="S73" s="417"/>
      <c r="T73" s="417"/>
      <c r="U73" s="417"/>
      <c r="V73" s="417"/>
      <c r="W73" s="417"/>
      <c r="X73" s="417"/>
      <c r="Y73" s="417"/>
      <c r="Z73" s="417"/>
      <c r="AA73" s="417"/>
      <c r="AB73" s="417"/>
      <c r="AC73" s="417"/>
      <c r="AD73" s="417"/>
      <c r="AE73" s="417"/>
      <c r="AF73" s="417"/>
      <c r="AG73" s="417"/>
      <c r="AH73" s="417"/>
      <c r="AI73" s="417"/>
      <c r="AJ73" s="417"/>
      <c r="AK73" s="417"/>
      <c r="AL73" s="417"/>
      <c r="AM73" s="417"/>
      <c r="AN73" s="417"/>
      <c r="AO73" s="417"/>
      <c r="AP73" s="417"/>
      <c r="AQ73" s="417"/>
      <c r="AR73" s="417"/>
    </row>
    <row r="74" spans="1:44" x14ac:dyDescent="0.2">
      <c r="A74" s="380"/>
      <c r="B74" s="380" t="s">
        <v>163</v>
      </c>
      <c r="C74" s="181" t="s">
        <v>120</v>
      </c>
      <c r="D74" s="428">
        <f>Inputs!$E$101</f>
        <v>2046</v>
      </c>
      <c r="E74" s="380"/>
      <c r="F74" s="417"/>
      <c r="G74" s="417"/>
      <c r="H74" s="417"/>
      <c r="I74" s="417"/>
      <c r="J74" s="417"/>
      <c r="K74" s="417"/>
      <c r="L74" s="417"/>
      <c r="M74" s="417"/>
      <c r="N74" s="417"/>
      <c r="O74" s="417"/>
      <c r="P74" s="417"/>
      <c r="Q74" s="417"/>
      <c r="R74" s="417"/>
      <c r="S74" s="417"/>
      <c r="T74" s="417"/>
      <c r="U74" s="417"/>
      <c r="V74" s="417"/>
      <c r="W74" s="417"/>
      <c r="X74" s="417"/>
      <c r="Y74" s="417"/>
      <c r="Z74" s="417"/>
      <c r="AA74" s="417"/>
      <c r="AB74" s="417"/>
      <c r="AC74" s="417"/>
      <c r="AD74" s="417"/>
      <c r="AE74" s="417"/>
      <c r="AF74" s="417"/>
      <c r="AG74" s="417"/>
      <c r="AH74" s="417"/>
      <c r="AI74" s="417"/>
      <c r="AJ74" s="417"/>
      <c r="AK74" s="417"/>
      <c r="AL74" s="417"/>
      <c r="AM74" s="417"/>
      <c r="AN74" s="417"/>
      <c r="AO74" s="417"/>
      <c r="AP74" s="417"/>
      <c r="AQ74" s="417"/>
      <c r="AR74" s="417"/>
    </row>
    <row r="75" spans="1:44" x14ac:dyDescent="0.2">
      <c r="A75" s="380"/>
      <c r="B75" s="380" t="s">
        <v>301</v>
      </c>
      <c r="C75" s="181" t="s">
        <v>159</v>
      </c>
      <c r="D75" s="459">
        <f>(D73-D71)/(D74-D72)</f>
        <v>9.2934782608695645</v>
      </c>
      <c r="E75" s="380"/>
      <c r="F75" s="417"/>
      <c r="G75" s="417"/>
      <c r="H75" s="417"/>
      <c r="I75" s="417"/>
      <c r="J75" s="417"/>
      <c r="K75" s="417"/>
      <c r="L75" s="417"/>
      <c r="M75" s="417"/>
      <c r="N75" s="417"/>
      <c r="O75" s="417"/>
      <c r="P75" s="417"/>
      <c r="Q75" s="417"/>
      <c r="R75" s="417"/>
      <c r="S75" s="417"/>
      <c r="T75" s="417"/>
      <c r="U75" s="417"/>
      <c r="V75" s="417"/>
      <c r="W75" s="417"/>
      <c r="X75" s="417"/>
      <c r="Y75" s="417"/>
      <c r="Z75" s="417"/>
      <c r="AA75" s="417"/>
      <c r="AB75" s="417"/>
      <c r="AC75" s="417"/>
      <c r="AD75" s="417"/>
      <c r="AE75" s="417"/>
      <c r="AF75" s="417"/>
      <c r="AG75" s="417"/>
      <c r="AH75" s="417"/>
      <c r="AI75" s="417"/>
      <c r="AJ75" s="417"/>
      <c r="AK75" s="417"/>
      <c r="AL75" s="417"/>
      <c r="AM75" s="417"/>
      <c r="AN75" s="417"/>
      <c r="AO75" s="417"/>
      <c r="AP75" s="417"/>
      <c r="AQ75" s="417"/>
      <c r="AR75" s="417"/>
    </row>
    <row r="76" spans="1:44" x14ac:dyDescent="0.2">
      <c r="A76" s="380"/>
      <c r="B76" s="380" t="s">
        <v>302</v>
      </c>
      <c r="C76" s="181" t="s">
        <v>106</v>
      </c>
      <c r="D76" s="453"/>
      <c r="E76" s="380"/>
      <c r="F76" s="417">
        <f t="shared" ref="F76:AR76" si="25">IF(F7&gt;$D$72,1,0)</f>
        <v>0</v>
      </c>
      <c r="G76" s="417">
        <f t="shared" si="25"/>
        <v>0</v>
      </c>
      <c r="H76" s="417">
        <f t="shared" si="25"/>
        <v>0</v>
      </c>
      <c r="I76" s="417">
        <f t="shared" si="25"/>
        <v>0</v>
      </c>
      <c r="J76" s="417">
        <f t="shared" si="25"/>
        <v>0</v>
      </c>
      <c r="K76" s="417">
        <f t="shared" si="25"/>
        <v>0</v>
      </c>
      <c r="L76" s="417">
        <f t="shared" si="25"/>
        <v>1</v>
      </c>
      <c r="M76" s="417">
        <f t="shared" si="25"/>
        <v>1</v>
      </c>
      <c r="N76" s="417">
        <f t="shared" si="25"/>
        <v>1</v>
      </c>
      <c r="O76" s="417">
        <f t="shared" si="25"/>
        <v>1</v>
      </c>
      <c r="P76" s="417">
        <f t="shared" si="25"/>
        <v>1</v>
      </c>
      <c r="Q76" s="417">
        <f t="shared" si="25"/>
        <v>1</v>
      </c>
      <c r="R76" s="417">
        <f t="shared" si="25"/>
        <v>1</v>
      </c>
      <c r="S76" s="417">
        <f t="shared" si="25"/>
        <v>1</v>
      </c>
      <c r="T76" s="417">
        <f t="shared" si="25"/>
        <v>1</v>
      </c>
      <c r="U76" s="417">
        <f t="shared" si="25"/>
        <v>1</v>
      </c>
      <c r="V76" s="417">
        <f t="shared" si="25"/>
        <v>1</v>
      </c>
      <c r="W76" s="417">
        <f t="shared" si="25"/>
        <v>1</v>
      </c>
      <c r="X76" s="417">
        <f t="shared" si="25"/>
        <v>1</v>
      </c>
      <c r="Y76" s="417">
        <f t="shared" si="25"/>
        <v>1</v>
      </c>
      <c r="Z76" s="417">
        <f t="shared" si="25"/>
        <v>1</v>
      </c>
      <c r="AA76" s="417">
        <f t="shared" si="25"/>
        <v>1</v>
      </c>
      <c r="AB76" s="417">
        <f t="shared" si="25"/>
        <v>1</v>
      </c>
      <c r="AC76" s="417">
        <f t="shared" si="25"/>
        <v>1</v>
      </c>
      <c r="AD76" s="417">
        <f t="shared" si="25"/>
        <v>1</v>
      </c>
      <c r="AE76" s="417">
        <f t="shared" si="25"/>
        <v>1</v>
      </c>
      <c r="AF76" s="417">
        <f t="shared" si="25"/>
        <v>1</v>
      </c>
      <c r="AG76" s="417">
        <f t="shared" si="25"/>
        <v>1</v>
      </c>
      <c r="AH76" s="417">
        <f t="shared" si="25"/>
        <v>1</v>
      </c>
      <c r="AI76" s="417">
        <f t="shared" si="25"/>
        <v>1</v>
      </c>
      <c r="AJ76" s="417">
        <f t="shared" si="25"/>
        <v>1</v>
      </c>
      <c r="AK76" s="417">
        <f t="shared" si="25"/>
        <v>1</v>
      </c>
      <c r="AL76" s="417">
        <f t="shared" si="25"/>
        <v>1</v>
      </c>
      <c r="AM76" s="417">
        <f t="shared" si="25"/>
        <v>1</v>
      </c>
      <c r="AN76" s="417">
        <f t="shared" si="25"/>
        <v>1</v>
      </c>
      <c r="AO76" s="417">
        <f t="shared" si="25"/>
        <v>1</v>
      </c>
      <c r="AP76" s="417">
        <f t="shared" si="25"/>
        <v>1</v>
      </c>
      <c r="AQ76" s="417">
        <f t="shared" si="25"/>
        <v>1</v>
      </c>
      <c r="AR76" s="417">
        <f t="shared" si="25"/>
        <v>1</v>
      </c>
    </row>
    <row r="77" spans="1:44" ht="15" x14ac:dyDescent="0.25">
      <c r="A77" s="2"/>
      <c r="B77" s="380" t="s">
        <v>303</v>
      </c>
      <c r="C77" s="181" t="s">
        <v>159</v>
      </c>
      <c r="D77" s="432">
        <f>SUM(F77:AR77)</f>
        <v>7721.1413043478242</v>
      </c>
      <c r="E77" s="380"/>
      <c r="F77" s="432">
        <f t="shared" ref="F77:J77" si="26">E77+F71+F76*$D$75</f>
        <v>0</v>
      </c>
      <c r="G77" s="432">
        <f t="shared" si="26"/>
        <v>0</v>
      </c>
      <c r="H77" s="432">
        <f t="shared" si="26"/>
        <v>0</v>
      </c>
      <c r="I77" s="432">
        <f t="shared" si="26"/>
        <v>0</v>
      </c>
      <c r="J77" s="432">
        <f t="shared" si="26"/>
        <v>0</v>
      </c>
      <c r="K77" s="432">
        <f>J77+K71+K76*$D$75</f>
        <v>73.75</v>
      </c>
      <c r="L77" s="432">
        <f t="shared" ref="L77:AR77" si="27">K77+L71+L76*$D$75</f>
        <v>83.043478260869563</v>
      </c>
      <c r="M77" s="432">
        <f t="shared" si="27"/>
        <v>92.336956521739125</v>
      </c>
      <c r="N77" s="432">
        <f t="shared" si="27"/>
        <v>101.63043478260869</v>
      </c>
      <c r="O77" s="432">
        <f t="shared" si="27"/>
        <v>110.92391304347825</v>
      </c>
      <c r="P77" s="432">
        <f t="shared" si="27"/>
        <v>120.21739130434781</v>
      </c>
      <c r="Q77" s="432">
        <f t="shared" si="27"/>
        <v>129.51086956521738</v>
      </c>
      <c r="R77" s="432">
        <f t="shared" si="27"/>
        <v>138.80434782608694</v>
      </c>
      <c r="S77" s="432">
        <f t="shared" si="27"/>
        <v>148.0978260869565</v>
      </c>
      <c r="T77" s="432">
        <f t="shared" si="27"/>
        <v>157.39130434782606</v>
      </c>
      <c r="U77" s="432">
        <f t="shared" si="27"/>
        <v>166.68478260869563</v>
      </c>
      <c r="V77" s="432">
        <f t="shared" si="27"/>
        <v>175.97826086956519</v>
      </c>
      <c r="W77" s="432">
        <f t="shared" si="27"/>
        <v>185.27173913043475</v>
      </c>
      <c r="X77" s="432">
        <f t="shared" si="27"/>
        <v>194.56521739130432</v>
      </c>
      <c r="Y77" s="432">
        <f t="shared" si="27"/>
        <v>203.85869565217388</v>
      </c>
      <c r="Z77" s="432">
        <f t="shared" si="27"/>
        <v>213.15217391304344</v>
      </c>
      <c r="AA77" s="432">
        <f t="shared" si="27"/>
        <v>222.445652173913</v>
      </c>
      <c r="AB77" s="432">
        <f t="shared" si="27"/>
        <v>231.73913043478257</v>
      </c>
      <c r="AC77" s="432">
        <f t="shared" si="27"/>
        <v>241.03260869565213</v>
      </c>
      <c r="AD77" s="432">
        <f t="shared" si="27"/>
        <v>250.32608695652169</v>
      </c>
      <c r="AE77" s="432">
        <f t="shared" si="27"/>
        <v>259.61956521739125</v>
      </c>
      <c r="AF77" s="432">
        <f t="shared" si="27"/>
        <v>268.91304347826082</v>
      </c>
      <c r="AG77" s="432">
        <f t="shared" si="27"/>
        <v>278.20652173913038</v>
      </c>
      <c r="AH77" s="432">
        <f t="shared" si="27"/>
        <v>287.49999999999994</v>
      </c>
      <c r="AI77" s="432">
        <f t="shared" si="27"/>
        <v>296.79347826086951</v>
      </c>
      <c r="AJ77" s="432">
        <f t="shared" si="27"/>
        <v>306.08695652173907</v>
      </c>
      <c r="AK77" s="432">
        <f t="shared" si="27"/>
        <v>315.38043478260863</v>
      </c>
      <c r="AL77" s="432">
        <f t="shared" si="27"/>
        <v>324.67391304347819</v>
      </c>
      <c r="AM77" s="432">
        <f t="shared" si="27"/>
        <v>333.96739130434776</v>
      </c>
      <c r="AN77" s="432">
        <f t="shared" si="27"/>
        <v>343.26086956521732</v>
      </c>
      <c r="AO77" s="432">
        <f t="shared" si="27"/>
        <v>352.55434782608688</v>
      </c>
      <c r="AP77" s="432">
        <f t="shared" si="27"/>
        <v>361.84782608695645</v>
      </c>
      <c r="AQ77" s="432">
        <f t="shared" si="27"/>
        <v>371.14130434782601</v>
      </c>
      <c r="AR77" s="432">
        <f t="shared" si="27"/>
        <v>380.43478260869557</v>
      </c>
    </row>
    <row r="78" spans="1:44" x14ac:dyDescent="0.2">
      <c r="A78" s="380"/>
      <c r="B78" s="380"/>
      <c r="C78" s="181"/>
      <c r="D78" s="432"/>
      <c r="E78" s="380"/>
      <c r="F78" s="417"/>
      <c r="G78" s="417"/>
      <c r="H78" s="417"/>
      <c r="I78" s="417"/>
      <c r="J78" s="417"/>
      <c r="K78" s="417"/>
      <c r="L78" s="417"/>
      <c r="M78" s="417"/>
      <c r="N78" s="417"/>
      <c r="O78" s="417">
        <f>O77/2*365</f>
        <v>20243.61413043478</v>
      </c>
      <c r="P78" s="417">
        <f t="shared" ref="P78:AH78" si="28">P77/2</f>
        <v>60.108695652173907</v>
      </c>
      <c r="Q78" s="417">
        <f t="shared" si="28"/>
        <v>64.755434782608688</v>
      </c>
      <c r="R78" s="417">
        <f t="shared" si="28"/>
        <v>69.40217391304347</v>
      </c>
      <c r="S78" s="417">
        <f t="shared" si="28"/>
        <v>74.048913043478251</v>
      </c>
      <c r="T78" s="417">
        <f t="shared" si="28"/>
        <v>78.695652173913032</v>
      </c>
      <c r="U78" s="417">
        <f t="shared" si="28"/>
        <v>83.342391304347814</v>
      </c>
      <c r="V78" s="417">
        <f t="shared" si="28"/>
        <v>87.989130434782595</v>
      </c>
      <c r="W78" s="417">
        <f t="shared" si="28"/>
        <v>92.635869565217376</v>
      </c>
      <c r="X78" s="417">
        <f t="shared" si="28"/>
        <v>97.282608695652158</v>
      </c>
      <c r="Y78" s="417">
        <f t="shared" si="28"/>
        <v>101.92934782608694</v>
      </c>
      <c r="Z78" s="417">
        <f t="shared" si="28"/>
        <v>106.57608695652172</v>
      </c>
      <c r="AA78" s="417">
        <f t="shared" si="28"/>
        <v>111.2228260869565</v>
      </c>
      <c r="AB78" s="417">
        <f t="shared" si="28"/>
        <v>115.86956521739128</v>
      </c>
      <c r="AC78" s="417">
        <f t="shared" si="28"/>
        <v>120.51630434782606</v>
      </c>
      <c r="AD78" s="417">
        <f t="shared" si="28"/>
        <v>125.16304347826085</v>
      </c>
      <c r="AE78" s="417">
        <f t="shared" si="28"/>
        <v>129.80978260869563</v>
      </c>
      <c r="AF78" s="417">
        <f t="shared" si="28"/>
        <v>134.45652173913041</v>
      </c>
      <c r="AG78" s="417">
        <f t="shared" si="28"/>
        <v>139.10326086956519</v>
      </c>
      <c r="AH78" s="417">
        <f t="shared" si="28"/>
        <v>143.74999999999997</v>
      </c>
      <c r="AI78" s="417"/>
      <c r="AJ78" s="417"/>
      <c r="AK78" s="417"/>
      <c r="AL78" s="417"/>
      <c r="AM78" s="417"/>
      <c r="AN78" s="417"/>
      <c r="AO78" s="417"/>
      <c r="AP78" s="417"/>
      <c r="AQ78" s="417"/>
      <c r="AR78" s="417"/>
    </row>
    <row r="79" spans="1:44" ht="15" x14ac:dyDescent="0.25">
      <c r="A79" s="380"/>
      <c r="B79" s="2" t="s">
        <v>304</v>
      </c>
      <c r="C79" s="181"/>
      <c r="D79" s="426"/>
      <c r="E79" s="380"/>
      <c r="F79" s="417"/>
      <c r="G79" s="417"/>
      <c r="H79" s="417"/>
      <c r="I79" s="417"/>
      <c r="J79" s="417"/>
      <c r="K79" s="417"/>
      <c r="L79" s="417"/>
      <c r="M79" s="417"/>
      <c r="N79" s="417"/>
      <c r="O79" s="417">
        <f>O78*8.887*10^-3*O80</f>
        <v>10974.204925407606</v>
      </c>
      <c r="P79" s="417">
        <f t="shared" ref="P79:AH79" si="29">P78*8.887*10^-3*P80</f>
        <v>33.171880878043474</v>
      </c>
      <c r="Q79" s="417">
        <f t="shared" si="29"/>
        <v>36.379505782441406</v>
      </c>
      <c r="R79" s="417">
        <f t="shared" si="29"/>
        <v>39.69185749399319</v>
      </c>
      <c r="S79" s="417">
        <f t="shared" si="29"/>
        <v>43.111666907287315</v>
      </c>
      <c r="T79" s="417">
        <f t="shared" si="29"/>
        <v>46.641729297631976</v>
      </c>
      <c r="U79" s="417">
        <f t="shared" si="29"/>
        <v>50.28490575395108</v>
      </c>
      <c r="V79" s="417">
        <f t="shared" si="29"/>
        <v>54.044124642405251</v>
      </c>
      <c r="W79" s="417">
        <f t="shared" si="29"/>
        <v>57.922383101379474</v>
      </c>
      <c r="X79" s="417">
        <f t="shared" si="29"/>
        <v>61.922748568492644</v>
      </c>
      <c r="Y79" s="417">
        <f t="shared" si="29"/>
        <v>66.048360340297052</v>
      </c>
      <c r="Z79" s="417">
        <f t="shared" si="29"/>
        <v>70.3024311653502</v>
      </c>
      <c r="AA79" s="417">
        <f t="shared" si="29"/>
        <v>74.688248871355029</v>
      </c>
      <c r="AB79" s="417">
        <f t="shared" si="29"/>
        <v>79.209178027078451</v>
      </c>
      <c r="AC79" s="417">
        <f t="shared" si="29"/>
        <v>83.868661639773592</v>
      </c>
      <c r="AD79" s="417">
        <f t="shared" si="29"/>
        <v>88.670222888844989</v>
      </c>
      <c r="AE79" s="417">
        <f t="shared" si="29"/>
        <v>93.617466896511658</v>
      </c>
      <c r="AF79" s="417">
        <f t="shared" si="29"/>
        <v>98.714082536238337</v>
      </c>
      <c r="AG79" s="417">
        <f t="shared" si="29"/>
        <v>103.9638442797207</v>
      </c>
      <c r="AH79" s="417">
        <f t="shared" si="29"/>
        <v>109.37061408322673</v>
      </c>
      <c r="AI79" s="417"/>
      <c r="AJ79" s="417"/>
      <c r="AK79" s="417"/>
      <c r="AL79" s="417"/>
      <c r="AM79" s="417"/>
      <c r="AN79" s="417"/>
      <c r="AO79" s="417"/>
      <c r="AP79" s="417"/>
      <c r="AQ79" s="417"/>
      <c r="AR79" s="417"/>
    </row>
    <row r="80" spans="1:44" x14ac:dyDescent="0.2">
      <c r="A80" s="380"/>
      <c r="B80" s="380" t="s">
        <v>305</v>
      </c>
      <c r="C80" s="181" t="s">
        <v>139</v>
      </c>
      <c r="D80" s="460">
        <f>Inputs!$E$78</f>
        <v>21.1</v>
      </c>
      <c r="E80" s="380"/>
      <c r="F80" s="417"/>
      <c r="G80" s="417"/>
      <c r="H80" s="417"/>
      <c r="I80" s="417"/>
      <c r="J80" s="417"/>
      <c r="K80" s="417"/>
      <c r="L80" s="417"/>
      <c r="M80" s="417"/>
      <c r="N80" s="455">
        <v>1.7999999999999999E-2</v>
      </c>
      <c r="O80" s="417">
        <v>61</v>
      </c>
      <c r="P80" s="417">
        <f t="shared" ref="P80:AH80" si="30">O80*(1+$N$80)</f>
        <v>62.097999999999999</v>
      </c>
      <c r="Q80" s="417">
        <f t="shared" si="30"/>
        <v>63.215764</v>
      </c>
      <c r="R80" s="417">
        <f t="shared" si="30"/>
        <v>64.353647752000001</v>
      </c>
      <c r="S80" s="417">
        <f t="shared" si="30"/>
        <v>65.512013411536003</v>
      </c>
      <c r="T80" s="417">
        <f t="shared" si="30"/>
        <v>66.691229652943647</v>
      </c>
      <c r="U80" s="417">
        <f t="shared" si="30"/>
        <v>67.891671786696634</v>
      </c>
      <c r="V80" s="417">
        <f t="shared" si="30"/>
        <v>69.113721878857177</v>
      </c>
      <c r="W80" s="417">
        <f t="shared" si="30"/>
        <v>70.357768872676601</v>
      </c>
      <c r="X80" s="417">
        <f t="shared" si="30"/>
        <v>71.624208712384785</v>
      </c>
      <c r="Y80" s="417">
        <f t="shared" si="30"/>
        <v>72.913444469207718</v>
      </c>
      <c r="Z80" s="417">
        <f t="shared" si="30"/>
        <v>74.22588646965346</v>
      </c>
      <c r="AA80" s="417">
        <f t="shared" si="30"/>
        <v>75.561952426107226</v>
      </c>
      <c r="AB80" s="417">
        <f t="shared" si="30"/>
        <v>76.922067569777155</v>
      </c>
      <c r="AC80" s="417">
        <f t="shared" si="30"/>
        <v>78.306664786033139</v>
      </c>
      <c r="AD80" s="417">
        <f t="shared" si="30"/>
        <v>79.716184752181732</v>
      </c>
      <c r="AE80" s="417">
        <f t="shared" si="30"/>
        <v>81.151076077721001</v>
      </c>
      <c r="AF80" s="417">
        <f t="shared" si="30"/>
        <v>82.611795447119974</v>
      </c>
      <c r="AG80" s="417">
        <f t="shared" si="30"/>
        <v>84.098807765168132</v>
      </c>
      <c r="AH80" s="417">
        <f t="shared" si="30"/>
        <v>85.612586304941161</v>
      </c>
      <c r="AI80" s="417"/>
      <c r="AJ80" s="417"/>
      <c r="AK80" s="417"/>
      <c r="AL80" s="417"/>
      <c r="AM80" s="417"/>
      <c r="AN80" s="417"/>
      <c r="AO80" s="417"/>
      <c r="AP80" s="417"/>
      <c r="AQ80" s="417"/>
      <c r="AR80" s="417"/>
    </row>
    <row r="81" spans="1:44" ht="15" x14ac:dyDescent="0.25">
      <c r="A81" s="2"/>
      <c r="B81" s="380" t="s">
        <v>306</v>
      </c>
      <c r="C81" s="11" t="s">
        <v>150</v>
      </c>
      <c r="D81" s="459">
        <f>Inputs!$E$88</f>
        <v>1.52</v>
      </c>
      <c r="E81" s="380"/>
      <c r="F81" s="417"/>
      <c r="G81" s="417"/>
      <c r="H81" s="417"/>
      <c r="I81" s="417"/>
      <c r="J81" s="417"/>
      <c r="K81" s="417"/>
      <c r="L81" s="417"/>
      <c r="M81" s="417"/>
      <c r="N81" s="417"/>
      <c r="O81" s="417">
        <f t="shared" ref="O81:AH81" si="31">O80*O16</f>
        <v>56.354570987617365</v>
      </c>
      <c r="P81" s="417">
        <f t="shared" si="31"/>
        <v>56.244071828818122</v>
      </c>
      <c r="Q81" s="417">
        <f t="shared" si="31"/>
        <v>56.13378933503612</v>
      </c>
      <c r="R81" s="417">
        <f t="shared" si="31"/>
        <v>56.023723081438021</v>
      </c>
      <c r="S81" s="417">
        <f t="shared" si="31"/>
        <v>55.913872644023435</v>
      </c>
      <c r="T81" s="417">
        <f t="shared" si="31"/>
        <v>55.804237599623384</v>
      </c>
      <c r="U81" s="417">
        <f t="shared" si="31"/>
        <v>55.694817525898635</v>
      </c>
      <c r="V81" s="417">
        <f t="shared" si="31"/>
        <v>55.585612001338056</v>
      </c>
      <c r="W81" s="417">
        <f t="shared" si="31"/>
        <v>55.47662060525699</v>
      </c>
      <c r="X81" s="417">
        <f t="shared" si="31"/>
        <v>55.367842917795713</v>
      </c>
      <c r="Y81" s="417">
        <f t="shared" si="31"/>
        <v>55.259278519917679</v>
      </c>
      <c r="Z81" s="417">
        <f t="shared" si="31"/>
        <v>55.150926993408049</v>
      </c>
      <c r="AA81" s="417">
        <f t="shared" si="31"/>
        <v>55.042787920871952</v>
      </c>
      <c r="AB81" s="417">
        <f t="shared" si="31"/>
        <v>54.934860885732981</v>
      </c>
      <c r="AC81" s="417">
        <f t="shared" si="31"/>
        <v>54.82714547223155</v>
      </c>
      <c r="AD81" s="417">
        <f t="shared" si="31"/>
        <v>54.719641265423249</v>
      </c>
      <c r="AE81" s="417">
        <f t="shared" si="31"/>
        <v>54.612347851177319</v>
      </c>
      <c r="AF81" s="417">
        <f t="shared" si="31"/>
        <v>54.505264816175007</v>
      </c>
      <c r="AG81" s="417">
        <f t="shared" si="31"/>
        <v>54.398391747907993</v>
      </c>
      <c r="AH81" s="417">
        <f t="shared" si="31"/>
        <v>54.29172823467681</v>
      </c>
      <c r="AI81" s="417"/>
      <c r="AJ81" s="417"/>
      <c r="AK81" s="417"/>
      <c r="AL81" s="417"/>
      <c r="AM81" s="417"/>
      <c r="AN81" s="417"/>
      <c r="AO81" s="417"/>
      <c r="AP81" s="417"/>
      <c r="AQ81" s="417"/>
      <c r="AR81" s="417"/>
    </row>
    <row r="82" spans="1:44" ht="15" x14ac:dyDescent="0.25">
      <c r="A82" s="2"/>
      <c r="B82" s="380"/>
      <c r="C82" s="11"/>
      <c r="D82" s="459"/>
      <c r="E82" s="380"/>
      <c r="F82" s="417"/>
      <c r="G82" s="417"/>
      <c r="H82" s="417"/>
      <c r="I82" s="417"/>
      <c r="J82" s="417"/>
      <c r="K82" s="417"/>
      <c r="L82" s="417"/>
      <c r="M82" s="417"/>
      <c r="N82" s="417"/>
      <c r="O82" s="417"/>
      <c r="P82" s="417"/>
      <c r="Q82" s="417"/>
      <c r="R82" s="417"/>
      <c r="S82" s="417"/>
      <c r="T82" s="417"/>
      <c r="U82" s="417"/>
      <c r="V82" s="417"/>
      <c r="W82" s="417"/>
      <c r="X82" s="417"/>
      <c r="Y82" s="417"/>
      <c r="Z82" s="417"/>
      <c r="AA82" s="417"/>
      <c r="AB82" s="417"/>
      <c r="AC82" s="417"/>
      <c r="AD82" s="417"/>
      <c r="AE82" s="417"/>
      <c r="AF82" s="417"/>
      <c r="AG82" s="417"/>
      <c r="AH82" s="417"/>
      <c r="AI82" s="417"/>
      <c r="AJ82" s="417"/>
      <c r="AK82" s="417"/>
      <c r="AL82" s="417"/>
      <c r="AM82" s="417"/>
      <c r="AN82" s="417"/>
      <c r="AO82" s="417"/>
      <c r="AP82" s="417"/>
      <c r="AQ82" s="417"/>
      <c r="AR82" s="417"/>
    </row>
    <row r="83" spans="1:44" ht="15" x14ac:dyDescent="0.25">
      <c r="A83" s="380"/>
      <c r="B83" s="2" t="s">
        <v>308</v>
      </c>
      <c r="C83" s="181"/>
      <c r="D83" s="440"/>
      <c r="E83" s="380"/>
      <c r="F83" s="417"/>
      <c r="G83" s="417"/>
      <c r="H83" s="417"/>
      <c r="I83" s="417"/>
      <c r="J83" s="417"/>
      <c r="K83" s="417"/>
      <c r="L83" s="417"/>
      <c r="M83" s="417"/>
      <c r="N83" s="417"/>
      <c r="O83" s="417"/>
      <c r="P83" s="417"/>
      <c r="Q83" s="417"/>
      <c r="R83" s="417"/>
      <c r="S83" s="417"/>
      <c r="T83" s="417"/>
      <c r="U83" s="417"/>
      <c r="V83" s="417"/>
      <c r="W83" s="417"/>
      <c r="X83" s="417"/>
      <c r="Y83" s="417"/>
      <c r="Z83" s="417"/>
      <c r="AA83" s="417"/>
      <c r="AB83" s="417"/>
      <c r="AC83" s="417"/>
      <c r="AD83" s="417"/>
      <c r="AE83" s="417"/>
      <c r="AF83" s="417"/>
      <c r="AG83" s="417"/>
      <c r="AH83" s="417"/>
      <c r="AI83" s="417"/>
      <c r="AJ83" s="417"/>
      <c r="AK83" s="417"/>
      <c r="AL83" s="417"/>
      <c r="AM83" s="417"/>
      <c r="AN83" s="417"/>
      <c r="AO83" s="417"/>
      <c r="AP83" s="417"/>
      <c r="AQ83" s="417"/>
      <c r="AR83" s="417"/>
    </row>
    <row r="84" spans="1:44" ht="15" x14ac:dyDescent="0.25">
      <c r="A84" s="2"/>
      <c r="B84" s="380" t="s">
        <v>308</v>
      </c>
      <c r="C84" s="181" t="s">
        <v>309</v>
      </c>
      <c r="D84" s="440">
        <f>SUM(F84:AR84)</f>
        <v>247632.44391304348</v>
      </c>
      <c r="E84" s="380"/>
      <c r="F84" s="417">
        <f t="shared" ref="F84:J84" si="32">F77*$D$80*$D$81</f>
        <v>0</v>
      </c>
      <c r="G84" s="417">
        <f t="shared" si="32"/>
        <v>0</v>
      </c>
      <c r="H84" s="417">
        <f t="shared" si="32"/>
        <v>0</v>
      </c>
      <c r="I84" s="417">
        <f t="shared" si="32"/>
        <v>0</v>
      </c>
      <c r="J84" s="417">
        <f t="shared" si="32"/>
        <v>0</v>
      </c>
      <c r="K84" s="417">
        <f>K77*$D$80*$D$81</f>
        <v>2365.31</v>
      </c>
      <c r="L84" s="417">
        <f t="shared" ref="L84:AR84" si="33">L77*$D$80*$D$81</f>
        <v>2663.3704347826088</v>
      </c>
      <c r="M84" s="417">
        <f t="shared" si="33"/>
        <v>2961.4308695652176</v>
      </c>
      <c r="N84" s="417">
        <f t="shared" si="33"/>
        <v>3259.4913043478264</v>
      </c>
      <c r="O84" s="417">
        <f t="shared" si="33"/>
        <v>3557.5517391304343</v>
      </c>
      <c r="P84" s="417">
        <f t="shared" si="33"/>
        <v>3855.6121739130435</v>
      </c>
      <c r="Q84" s="417">
        <f t="shared" si="33"/>
        <v>4153.6726086956523</v>
      </c>
      <c r="R84" s="417">
        <f t="shared" si="33"/>
        <v>4451.7330434782607</v>
      </c>
      <c r="S84" s="417">
        <f t="shared" si="33"/>
        <v>4749.7934782608691</v>
      </c>
      <c r="T84" s="417">
        <f t="shared" si="33"/>
        <v>5047.8539130434774</v>
      </c>
      <c r="U84" s="417">
        <f t="shared" si="33"/>
        <v>5345.9143478260867</v>
      </c>
      <c r="V84" s="417">
        <f t="shared" si="33"/>
        <v>5643.974782608695</v>
      </c>
      <c r="W84" s="417">
        <f t="shared" si="33"/>
        <v>5942.0352173913043</v>
      </c>
      <c r="X84" s="417">
        <f t="shared" si="33"/>
        <v>6240.0956521739117</v>
      </c>
      <c r="Y84" s="417">
        <f t="shared" si="33"/>
        <v>6538.156086956521</v>
      </c>
      <c r="Z84" s="417">
        <f t="shared" si="33"/>
        <v>6836.2165217391303</v>
      </c>
      <c r="AA84" s="417">
        <f t="shared" si="33"/>
        <v>7134.2769565217386</v>
      </c>
      <c r="AB84" s="417">
        <f t="shared" si="33"/>
        <v>7432.3373913043461</v>
      </c>
      <c r="AC84" s="417">
        <f t="shared" si="33"/>
        <v>7730.3978260869553</v>
      </c>
      <c r="AD84" s="417">
        <f t="shared" si="33"/>
        <v>8028.4582608695646</v>
      </c>
      <c r="AE84" s="417">
        <f t="shared" si="33"/>
        <v>8326.5186956521738</v>
      </c>
      <c r="AF84" s="417">
        <f t="shared" si="33"/>
        <v>8624.5791304347822</v>
      </c>
      <c r="AG84" s="417">
        <f t="shared" si="33"/>
        <v>8922.6395652173906</v>
      </c>
      <c r="AH84" s="417">
        <f t="shared" si="33"/>
        <v>9220.6999999999989</v>
      </c>
      <c r="AI84" s="417">
        <f t="shared" si="33"/>
        <v>9518.7604347826073</v>
      </c>
      <c r="AJ84" s="417">
        <f t="shared" si="33"/>
        <v>9816.8208695652174</v>
      </c>
      <c r="AK84" s="417">
        <f t="shared" si="33"/>
        <v>10114.881304347824</v>
      </c>
      <c r="AL84" s="417">
        <f t="shared" si="33"/>
        <v>10412.941739130432</v>
      </c>
      <c r="AM84" s="417">
        <f t="shared" si="33"/>
        <v>10711.002173913042</v>
      </c>
      <c r="AN84" s="417">
        <f t="shared" si="33"/>
        <v>11009.062608695651</v>
      </c>
      <c r="AO84" s="417">
        <f t="shared" si="33"/>
        <v>11307.123043478259</v>
      </c>
      <c r="AP84" s="417">
        <f t="shared" si="33"/>
        <v>11605.183478260868</v>
      </c>
      <c r="AQ84" s="417">
        <f t="shared" si="33"/>
        <v>11903.243913043476</v>
      </c>
      <c r="AR84" s="417">
        <f t="shared" si="33"/>
        <v>12201.304347826086</v>
      </c>
    </row>
    <row r="85" spans="1:44" ht="15" x14ac:dyDescent="0.25">
      <c r="A85" s="2"/>
      <c r="B85" s="380" t="s">
        <v>79</v>
      </c>
      <c r="C85" s="181" t="s">
        <v>80</v>
      </c>
      <c r="D85" s="440">
        <f>Inputs!$E$32</f>
        <v>365</v>
      </c>
      <c r="E85" s="380"/>
      <c r="F85" s="432"/>
      <c r="G85" s="432"/>
      <c r="H85" s="432"/>
      <c r="I85" s="432"/>
      <c r="J85" s="432"/>
      <c r="K85" s="432"/>
      <c r="L85" s="432"/>
      <c r="M85" s="432"/>
      <c r="N85" s="432"/>
      <c r="O85" s="432"/>
      <c r="P85" s="432"/>
      <c r="Q85" s="432"/>
      <c r="R85" s="432"/>
      <c r="S85" s="432"/>
      <c r="T85" s="432"/>
      <c r="U85" s="432"/>
      <c r="V85" s="432"/>
      <c r="W85" s="432"/>
      <c r="X85" s="432"/>
      <c r="Y85" s="432"/>
      <c r="Z85" s="432"/>
      <c r="AA85" s="432"/>
      <c r="AB85" s="432"/>
      <c r="AC85" s="432"/>
      <c r="AD85" s="432"/>
      <c r="AE85" s="432"/>
      <c r="AF85" s="432"/>
      <c r="AG85" s="432"/>
      <c r="AH85" s="432"/>
      <c r="AI85" s="432"/>
      <c r="AJ85" s="432"/>
      <c r="AK85" s="432"/>
      <c r="AL85" s="432"/>
      <c r="AM85" s="432"/>
      <c r="AN85" s="432"/>
      <c r="AO85" s="432"/>
      <c r="AP85" s="432"/>
      <c r="AQ85" s="432"/>
      <c r="AR85" s="432"/>
    </row>
    <row r="86" spans="1:44" x14ac:dyDescent="0.2">
      <c r="A86" s="380"/>
      <c r="B86" s="380" t="s">
        <v>303</v>
      </c>
      <c r="C86" s="181" t="s">
        <v>310</v>
      </c>
      <c r="D86" s="440">
        <f>SUM(F86:AR86)</f>
        <v>90385842.028260857</v>
      </c>
      <c r="E86" s="380"/>
      <c r="F86" s="417">
        <f t="shared" ref="F86:J86" si="34">F84*$D$85</f>
        <v>0</v>
      </c>
      <c r="G86" s="417">
        <f t="shared" si="34"/>
        <v>0</v>
      </c>
      <c r="H86" s="417">
        <f t="shared" si="34"/>
        <v>0</v>
      </c>
      <c r="I86" s="417">
        <f t="shared" si="34"/>
        <v>0</v>
      </c>
      <c r="J86" s="417">
        <f t="shared" si="34"/>
        <v>0</v>
      </c>
      <c r="K86" s="417">
        <f>K84*$D$85</f>
        <v>863338.15</v>
      </c>
      <c r="L86" s="417">
        <f t="shared" ref="L86:AR86" si="35">L84*$D$85</f>
        <v>972130.2086956522</v>
      </c>
      <c r="M86" s="417">
        <f t="shared" si="35"/>
        <v>1080922.2673913045</v>
      </c>
      <c r="N86" s="417">
        <f t="shared" si="35"/>
        <v>1189714.3260869565</v>
      </c>
      <c r="O86" s="417">
        <f t="shared" si="35"/>
        <v>1298506.3847826086</v>
      </c>
      <c r="P86" s="417">
        <f t="shared" si="35"/>
        <v>1407298.4434782609</v>
      </c>
      <c r="Q86" s="417">
        <f t="shared" si="35"/>
        <v>1516090.5021739132</v>
      </c>
      <c r="R86" s="417">
        <f t="shared" si="35"/>
        <v>1624882.5608695652</v>
      </c>
      <c r="S86" s="417">
        <f t="shared" si="35"/>
        <v>1733674.6195652173</v>
      </c>
      <c r="T86" s="417">
        <f t="shared" si="35"/>
        <v>1842466.6782608693</v>
      </c>
      <c r="U86" s="417">
        <f t="shared" si="35"/>
        <v>1951258.7369565216</v>
      </c>
      <c r="V86" s="417">
        <f t="shared" si="35"/>
        <v>2060050.7956521737</v>
      </c>
      <c r="W86" s="417">
        <f t="shared" si="35"/>
        <v>2168842.854347826</v>
      </c>
      <c r="X86" s="417">
        <f t="shared" si="35"/>
        <v>2277634.9130434776</v>
      </c>
      <c r="Y86" s="417">
        <f t="shared" si="35"/>
        <v>2386426.9717391301</v>
      </c>
      <c r="Z86" s="417">
        <f t="shared" si="35"/>
        <v>2495219.0304347826</v>
      </c>
      <c r="AA86" s="417">
        <f t="shared" si="35"/>
        <v>2604011.0891304347</v>
      </c>
      <c r="AB86" s="417">
        <f t="shared" si="35"/>
        <v>2712803.1478260863</v>
      </c>
      <c r="AC86" s="417">
        <f t="shared" si="35"/>
        <v>2821595.2065217388</v>
      </c>
      <c r="AD86" s="417">
        <f t="shared" si="35"/>
        <v>2930387.2652173908</v>
      </c>
      <c r="AE86" s="417">
        <f t="shared" si="35"/>
        <v>3039179.3239130434</v>
      </c>
      <c r="AF86" s="417">
        <f t="shared" si="35"/>
        <v>3147971.3826086954</v>
      </c>
      <c r="AG86" s="417">
        <f t="shared" si="35"/>
        <v>3256763.4413043475</v>
      </c>
      <c r="AH86" s="417">
        <f t="shared" si="35"/>
        <v>3365555.4999999995</v>
      </c>
      <c r="AI86" s="417">
        <f t="shared" si="35"/>
        <v>3474347.5586956516</v>
      </c>
      <c r="AJ86" s="417">
        <f t="shared" si="35"/>
        <v>3583139.6173913046</v>
      </c>
      <c r="AK86" s="417">
        <f t="shared" si="35"/>
        <v>3691931.6760869557</v>
      </c>
      <c r="AL86" s="417">
        <f t="shared" si="35"/>
        <v>3800723.7347826078</v>
      </c>
      <c r="AM86" s="417">
        <f t="shared" si="35"/>
        <v>3909515.7934782603</v>
      </c>
      <c r="AN86" s="417">
        <f t="shared" si="35"/>
        <v>4018307.8521739123</v>
      </c>
      <c r="AO86" s="417">
        <f t="shared" si="35"/>
        <v>4127099.9108695644</v>
      </c>
      <c r="AP86" s="417">
        <f t="shared" si="35"/>
        <v>4235891.9695652165</v>
      </c>
      <c r="AQ86" s="417">
        <f t="shared" si="35"/>
        <v>4344684.028260869</v>
      </c>
      <c r="AR86" s="417">
        <f t="shared" si="35"/>
        <v>4453476.0869565215</v>
      </c>
    </row>
    <row r="87" spans="1:44" x14ac:dyDescent="0.2">
      <c r="A87" s="380"/>
      <c r="B87" s="380"/>
      <c r="C87" s="181"/>
      <c r="D87" s="440"/>
      <c r="E87" s="380"/>
      <c r="F87" s="417"/>
      <c r="G87" s="417"/>
      <c r="H87" s="417"/>
      <c r="I87" s="417"/>
      <c r="J87" s="417"/>
      <c r="K87" s="417"/>
      <c r="L87" s="417"/>
      <c r="M87" s="417"/>
      <c r="N87" s="417"/>
      <c r="O87" s="417"/>
      <c r="P87" s="417"/>
      <c r="Q87" s="417"/>
      <c r="R87" s="417"/>
      <c r="S87" s="417"/>
      <c r="T87" s="417"/>
      <c r="U87" s="417"/>
      <c r="V87" s="417"/>
      <c r="W87" s="417"/>
      <c r="X87" s="417"/>
      <c r="Y87" s="417"/>
      <c r="Z87" s="417"/>
      <c r="AA87" s="417"/>
      <c r="AB87" s="417"/>
      <c r="AC87" s="417"/>
      <c r="AD87" s="417"/>
      <c r="AE87" s="417"/>
      <c r="AF87" s="417"/>
      <c r="AG87" s="417"/>
      <c r="AH87" s="417"/>
      <c r="AI87" s="417"/>
      <c r="AJ87" s="417"/>
      <c r="AK87" s="417"/>
      <c r="AL87" s="417"/>
      <c r="AM87" s="417"/>
      <c r="AN87" s="417"/>
      <c r="AO87" s="417"/>
      <c r="AP87" s="417"/>
      <c r="AQ87" s="417"/>
      <c r="AR87" s="417"/>
    </row>
    <row r="88" spans="1:44" ht="15" x14ac:dyDescent="0.25">
      <c r="A88" s="2" t="s">
        <v>271</v>
      </c>
      <c r="B88" s="380"/>
      <c r="C88" s="11"/>
      <c r="D88" s="459"/>
      <c r="E88" s="380"/>
      <c r="F88" s="417"/>
      <c r="G88" s="417"/>
      <c r="H88" s="417"/>
      <c r="I88" s="417"/>
      <c r="J88" s="417"/>
      <c r="K88" s="417"/>
      <c r="L88" s="417"/>
      <c r="M88" s="417"/>
      <c r="N88" s="417"/>
      <c r="O88" s="417"/>
      <c r="P88" s="417"/>
      <c r="Q88" s="417"/>
      <c r="R88" s="417"/>
      <c r="S88" s="417"/>
      <c r="T88" s="417"/>
      <c r="U88" s="417"/>
      <c r="V88" s="417"/>
      <c r="W88" s="417"/>
      <c r="X88" s="417"/>
      <c r="Y88" s="417"/>
      <c r="Z88" s="417"/>
      <c r="AA88" s="417"/>
      <c r="AB88" s="417"/>
      <c r="AC88" s="417"/>
      <c r="AD88" s="417"/>
      <c r="AE88" s="417"/>
      <c r="AF88" s="417"/>
      <c r="AG88" s="417"/>
      <c r="AH88" s="417"/>
      <c r="AI88" s="417"/>
      <c r="AJ88" s="417"/>
      <c r="AK88" s="417"/>
      <c r="AL88" s="417"/>
      <c r="AM88" s="417"/>
      <c r="AN88" s="417"/>
      <c r="AO88" s="417"/>
      <c r="AP88" s="417"/>
      <c r="AQ88" s="417"/>
      <c r="AR88" s="417"/>
    </row>
    <row r="89" spans="1:44" ht="15" x14ac:dyDescent="0.25">
      <c r="A89" s="2"/>
      <c r="B89" s="380" t="str">
        <f>Traffic!$B$54</f>
        <v>Pedestrian Forecast</v>
      </c>
      <c r="C89" s="11" t="s">
        <v>196</v>
      </c>
      <c r="D89" s="459"/>
      <c r="E89" s="380"/>
      <c r="F89" s="417">
        <f>Traffic!F$54</f>
        <v>66.680335831680836</v>
      </c>
      <c r="G89" s="417">
        <f>Traffic!G$54</f>
        <v>67.040359895154836</v>
      </c>
      <c r="H89" s="417">
        <f>Traffic!H$54</f>
        <v>67.402327819958614</v>
      </c>
      <c r="I89" s="417">
        <f>Traffic!I$54</f>
        <v>67.766250101493057</v>
      </c>
      <c r="J89" s="417">
        <f>Traffic!J$54</f>
        <v>68.132137291826353</v>
      </c>
      <c r="K89" s="417">
        <f>Traffic!K$54</f>
        <v>68.500000000000014</v>
      </c>
      <c r="L89" s="417">
        <f>Traffic!L$54</f>
        <v>68.869848892336449</v>
      </c>
      <c r="M89" s="417">
        <f>Traffic!M$54</f>
        <v>69.241694692748254</v>
      </c>
      <c r="N89" s="417">
        <f>Traffic!N$54</f>
        <v>69.615548183049142</v>
      </c>
      <c r="O89" s="417">
        <f>Traffic!O$54</f>
        <v>69.991420203266586</v>
      </c>
      <c r="P89" s="417">
        <f>Traffic!P$54</f>
        <v>70.369321651956099</v>
      </c>
      <c r="Q89" s="417">
        <f>Traffic!Q$54</f>
        <v>70.749263486517293</v>
      </c>
      <c r="R89" s="417">
        <f>Traffic!R$54</f>
        <v>71.131256723511555</v>
      </c>
      <c r="S89" s="417">
        <f>Traffic!S$54</f>
        <v>71.515312438981468</v>
      </c>
      <c r="T89" s="417">
        <f>Traffic!T$54</f>
        <v>71.901441768772003</v>
      </c>
      <c r="U89" s="417">
        <f>Traffic!U$54</f>
        <v>72.289655908853362</v>
      </c>
      <c r="V89" s="417">
        <f>Traffic!V$54</f>
        <v>72.679966115645641</v>
      </c>
      <c r="W89" s="417">
        <f>Traffic!W$54</f>
        <v>73.072383706345221</v>
      </c>
      <c r="X89" s="417">
        <f>Traffic!X$54</f>
        <v>73.466920059252885</v>
      </c>
      <c r="Y89" s="417">
        <f>Traffic!Y$54</f>
        <v>73.863586614103752</v>
      </c>
      <c r="Z89" s="417">
        <f>Traffic!Z$54</f>
        <v>74.262394872398971</v>
      </c>
      <c r="AA89" s="417">
        <f>Traffic!AA$54</f>
        <v>74.663356397739236</v>
      </c>
      <c r="AB89" s="417">
        <f>Traffic!AB$54</f>
        <v>75.066482816160033</v>
      </c>
      <c r="AC89" s="417">
        <f>Traffic!AC$54</f>
        <v>75.471785816468767</v>
      </c>
      <c r="AD89" s="417">
        <f>Traffic!AD$54</f>
        <v>75.879277150583704</v>
      </c>
      <c r="AE89" s="417">
        <f>Traffic!AE$54</f>
        <v>76.288968633874688</v>
      </c>
      <c r="AF89" s="417">
        <f>Traffic!AF$54</f>
        <v>76.700872145505741</v>
      </c>
      <c r="AG89" s="417">
        <f>Traffic!AG$54</f>
        <v>77.114999628779515</v>
      </c>
      <c r="AH89" s="417">
        <f>Traffic!AH$54</f>
        <v>77.531363091483584</v>
      </c>
      <c r="AI89" s="417">
        <f>Traffic!AI$54</f>
        <v>77.949974606238612</v>
      </c>
      <c r="AJ89" s="417">
        <f>Traffic!AJ$54</f>
        <v>78.370846310848407</v>
      </c>
      <c r="AK89" s="417">
        <f>Traffic!AK$54</f>
        <v>78.793990408651851</v>
      </c>
      <c r="AL89" s="417">
        <f>Traffic!AL$54</f>
        <v>79.219419168876783</v>
      </c>
      <c r="AM89" s="417">
        <f>Traffic!AM$54</f>
        <v>79.647144926995679</v>
      </c>
      <c r="AN89" s="417">
        <f>Traffic!AN$54</f>
        <v>80.077180085083398</v>
      </c>
      <c r="AO89" s="417">
        <f>Traffic!AO$54</f>
        <v>80.50953711217673</v>
      </c>
      <c r="AP89" s="417">
        <f>Traffic!AP$54</f>
        <v>80.944228544635962</v>
      </c>
      <c r="AQ89" s="417">
        <f>Traffic!AQ$54</f>
        <v>81.381266986508379</v>
      </c>
      <c r="AR89" s="417">
        <f>Traffic!AR$54</f>
        <v>81.820665109893724</v>
      </c>
    </row>
    <row r="90" spans="1:44" ht="15" x14ac:dyDescent="0.25">
      <c r="A90" s="2"/>
      <c r="B90" s="380" t="s">
        <v>321</v>
      </c>
      <c r="C90" s="11" t="s">
        <v>101</v>
      </c>
      <c r="D90" s="459">
        <f>Inputs!E73</f>
        <v>0.26515151515151514</v>
      </c>
      <c r="E90" s="380"/>
      <c r="F90" s="417"/>
      <c r="G90" s="417"/>
      <c r="H90" s="417"/>
      <c r="I90" s="417"/>
      <c r="J90" s="417"/>
      <c r="K90" s="417"/>
      <c r="L90" s="417"/>
      <c r="M90" s="417"/>
      <c r="N90" s="417"/>
      <c r="O90" s="417"/>
      <c r="P90" s="417"/>
      <c r="Q90" s="417"/>
      <c r="R90" s="417"/>
      <c r="S90" s="417"/>
      <c r="T90" s="417"/>
      <c r="U90" s="417"/>
      <c r="V90" s="417"/>
      <c r="W90" s="417"/>
      <c r="X90" s="417"/>
      <c r="Y90" s="417"/>
      <c r="Z90" s="417"/>
      <c r="AA90" s="417"/>
      <c r="AB90" s="417"/>
      <c r="AC90" s="417"/>
      <c r="AD90" s="417"/>
      <c r="AE90" s="417"/>
      <c r="AF90" s="417"/>
      <c r="AG90" s="417"/>
      <c r="AH90" s="417"/>
      <c r="AI90" s="417"/>
      <c r="AJ90" s="417"/>
      <c r="AK90" s="417"/>
      <c r="AL90" s="417"/>
      <c r="AM90" s="417"/>
      <c r="AN90" s="417"/>
      <c r="AO90" s="417"/>
      <c r="AP90" s="417"/>
      <c r="AQ90" s="417"/>
      <c r="AR90" s="417"/>
    </row>
    <row r="91" spans="1:44" ht="15" x14ac:dyDescent="0.25">
      <c r="A91" s="2"/>
      <c r="B91" s="380" t="s">
        <v>312</v>
      </c>
      <c r="C91" s="11" t="s">
        <v>135</v>
      </c>
      <c r="D91" s="459">
        <f>Inputs!$E$74</f>
        <v>3.2</v>
      </c>
      <c r="E91" s="380"/>
      <c r="F91" s="417"/>
      <c r="G91" s="417"/>
      <c r="H91" s="417"/>
      <c r="I91" s="417"/>
      <c r="J91" s="417"/>
      <c r="K91" s="417"/>
      <c r="L91" s="417"/>
      <c r="M91" s="417"/>
      <c r="N91" s="417"/>
      <c r="O91" s="417"/>
      <c r="P91" s="417"/>
      <c r="Q91" s="417"/>
      <c r="R91" s="417"/>
      <c r="S91" s="417"/>
      <c r="T91" s="417"/>
      <c r="U91" s="417"/>
      <c r="V91" s="417"/>
      <c r="W91" s="417"/>
      <c r="X91" s="417"/>
      <c r="Y91" s="417"/>
      <c r="Z91" s="417"/>
      <c r="AA91" s="417"/>
      <c r="AB91" s="417"/>
      <c r="AC91" s="417"/>
      <c r="AD91" s="417"/>
      <c r="AE91" s="417"/>
      <c r="AF91" s="417"/>
      <c r="AG91" s="417"/>
      <c r="AH91" s="417"/>
      <c r="AI91" s="417"/>
      <c r="AJ91" s="417"/>
      <c r="AK91" s="417"/>
      <c r="AL91" s="417"/>
      <c r="AM91" s="417"/>
      <c r="AN91" s="417"/>
      <c r="AO91" s="417"/>
      <c r="AP91" s="417"/>
      <c r="AQ91" s="417"/>
      <c r="AR91" s="417"/>
    </row>
    <row r="92" spans="1:44" ht="15" x14ac:dyDescent="0.25">
      <c r="A92" s="2"/>
      <c r="B92" s="380" t="s">
        <v>313</v>
      </c>
      <c r="C92" s="11" t="s">
        <v>314</v>
      </c>
      <c r="D92" s="459">
        <f>D90/D91</f>
        <v>8.2859848484848481E-2</v>
      </c>
      <c r="E92" s="380"/>
      <c r="F92" s="417"/>
      <c r="G92" s="417"/>
      <c r="H92" s="417"/>
      <c r="I92" s="417"/>
      <c r="J92" s="417"/>
      <c r="K92" s="417"/>
      <c r="L92" s="417"/>
      <c r="M92" s="417"/>
      <c r="N92" s="417"/>
      <c r="O92" s="417"/>
      <c r="P92" s="417"/>
      <c r="Q92" s="417"/>
      <c r="R92" s="417"/>
      <c r="S92" s="417"/>
      <c r="T92" s="417"/>
      <c r="U92" s="417"/>
      <c r="V92" s="417"/>
      <c r="W92" s="417"/>
      <c r="X92" s="417"/>
      <c r="Y92" s="417"/>
      <c r="Z92" s="417"/>
      <c r="AA92" s="417"/>
      <c r="AB92" s="417"/>
      <c r="AC92" s="417"/>
      <c r="AD92" s="417"/>
      <c r="AE92" s="417"/>
      <c r="AF92" s="417"/>
      <c r="AG92" s="417"/>
      <c r="AH92" s="417"/>
      <c r="AI92" s="417"/>
      <c r="AJ92" s="417"/>
      <c r="AK92" s="417"/>
      <c r="AL92" s="417"/>
      <c r="AM92" s="417"/>
      <c r="AN92" s="417"/>
      <c r="AO92" s="417"/>
      <c r="AP92" s="417"/>
      <c r="AQ92" s="417"/>
      <c r="AR92" s="417"/>
    </row>
    <row r="93" spans="1:44" ht="15" x14ac:dyDescent="0.25">
      <c r="A93" s="2"/>
      <c r="B93" s="380" t="s">
        <v>315</v>
      </c>
      <c r="C93" s="11" t="s">
        <v>316</v>
      </c>
      <c r="D93" s="459"/>
      <c r="E93" s="380"/>
      <c r="F93" s="417">
        <f>F89*$D$92</f>
        <v>5.5251225239318869</v>
      </c>
      <c r="G93" s="417">
        <f t="shared" ref="G93:AR93" si="36">G89*$D$92</f>
        <v>5.5549540632822421</v>
      </c>
      <c r="H93" s="417">
        <f t="shared" si="36"/>
        <v>5.5849466706878585</v>
      </c>
      <c r="I93" s="417">
        <f t="shared" si="36"/>
        <v>5.6151012157960629</v>
      </c>
      <c r="J93" s="417">
        <f t="shared" si="36"/>
        <v>5.6454185729496267</v>
      </c>
      <c r="K93" s="417">
        <f t="shared" si="36"/>
        <v>5.675899621212122</v>
      </c>
      <c r="L93" s="417">
        <f t="shared" si="36"/>
        <v>5.7065452443934079</v>
      </c>
      <c r="M93" s="417">
        <f t="shared" si="36"/>
        <v>5.7373563310752571</v>
      </c>
      <c r="N93" s="417">
        <f t="shared" si="36"/>
        <v>5.7683337746371208</v>
      </c>
      <c r="O93" s="417">
        <f t="shared" si="36"/>
        <v>5.7994784732820319</v>
      </c>
      <c r="P93" s="417">
        <f t="shared" si="36"/>
        <v>5.8307913300626497</v>
      </c>
      <c r="Q93" s="417">
        <f t="shared" si="36"/>
        <v>5.8622732529074462</v>
      </c>
      <c r="R93" s="417">
        <f t="shared" si="36"/>
        <v>5.893925154647027</v>
      </c>
      <c r="S93" s="417">
        <f t="shared" si="36"/>
        <v>5.9257479530406041</v>
      </c>
      <c r="T93" s="417">
        <f t="shared" si="36"/>
        <v>5.9577425708026039</v>
      </c>
      <c r="U93" s="417">
        <f t="shared" si="36"/>
        <v>5.989909935629421</v>
      </c>
      <c r="V93" s="417">
        <f t="shared" si="36"/>
        <v>6.0222509802263193</v>
      </c>
      <c r="W93" s="417">
        <f t="shared" si="36"/>
        <v>6.0547666423344761</v>
      </c>
      <c r="X93" s="417">
        <f t="shared" si="36"/>
        <v>6.0874578647581696</v>
      </c>
      <c r="Y93" s="417">
        <f t="shared" si="36"/>
        <v>6.120325595392119</v>
      </c>
      <c r="Z93" s="417">
        <f t="shared" si="36"/>
        <v>6.1533707872489671</v>
      </c>
      <c r="AA93" s="417">
        <f t="shared" si="36"/>
        <v>6.1865943984869158</v>
      </c>
      <c r="AB93" s="417">
        <f t="shared" si="36"/>
        <v>6.2199973924375023</v>
      </c>
      <c r="AC93" s="417">
        <f t="shared" si="36"/>
        <v>6.2535807376335386</v>
      </c>
      <c r="AD93" s="417">
        <f t="shared" si="36"/>
        <v>6.2873454078371909</v>
      </c>
      <c r="AE93" s="417">
        <f t="shared" si="36"/>
        <v>6.321292382068215</v>
      </c>
      <c r="AF93" s="417">
        <f t="shared" si="36"/>
        <v>6.3554226446323412</v>
      </c>
      <c r="AG93" s="417">
        <f t="shared" si="36"/>
        <v>6.3897371851498175</v>
      </c>
      <c r="AH93" s="417">
        <f t="shared" si="36"/>
        <v>6.4242369985841039</v>
      </c>
      <c r="AI93" s="417">
        <f t="shared" si="36"/>
        <v>6.458923085270718</v>
      </c>
      <c r="AJ93" s="417">
        <f t="shared" si="36"/>
        <v>6.4937964509462454</v>
      </c>
      <c r="AK93" s="417">
        <f t="shared" si="36"/>
        <v>6.5288581067774967</v>
      </c>
      <c r="AL93" s="417">
        <f t="shared" si="36"/>
        <v>6.5641090693908319</v>
      </c>
      <c r="AM93" s="417">
        <f t="shared" si="36"/>
        <v>6.5995503609016302</v>
      </c>
      <c r="AN93" s="417">
        <f t="shared" si="36"/>
        <v>6.6351830089439368</v>
      </c>
      <c r="AO93" s="417">
        <f t="shared" si="36"/>
        <v>6.6710080467002495</v>
      </c>
      <c r="AP93" s="417">
        <f t="shared" si="36"/>
        <v>6.707026512931483</v>
      </c>
      <c r="AQ93" s="417">
        <f t="shared" si="36"/>
        <v>6.743239452007086</v>
      </c>
      <c r="AR93" s="417">
        <f t="shared" si="36"/>
        <v>6.7796479139353227</v>
      </c>
    </row>
    <row r="94" spans="1:44" ht="15" x14ac:dyDescent="0.25">
      <c r="A94" s="2"/>
      <c r="B94" s="2" t="s">
        <v>304</v>
      </c>
      <c r="C94" s="11"/>
      <c r="D94" s="459"/>
      <c r="E94" s="380"/>
      <c r="F94" s="417"/>
      <c r="G94" s="417"/>
      <c r="H94" s="417"/>
      <c r="I94" s="417"/>
      <c r="J94" s="417"/>
      <c r="K94" s="417"/>
      <c r="L94" s="417"/>
      <c r="M94" s="417"/>
      <c r="N94" s="417"/>
      <c r="O94" s="417"/>
      <c r="P94" s="417"/>
      <c r="Q94" s="417"/>
      <c r="R94" s="417"/>
      <c r="S94" s="417"/>
      <c r="T94" s="417"/>
      <c r="U94" s="417"/>
      <c r="V94" s="417"/>
      <c r="W94" s="417"/>
      <c r="X94" s="417"/>
      <c r="Y94" s="417"/>
      <c r="Z94" s="417"/>
      <c r="AA94" s="417"/>
      <c r="AB94" s="417"/>
      <c r="AC94" s="417"/>
      <c r="AD94" s="417"/>
      <c r="AE94" s="417"/>
      <c r="AF94" s="417"/>
      <c r="AG94" s="417"/>
      <c r="AH94" s="417"/>
      <c r="AI94" s="417"/>
      <c r="AJ94" s="417"/>
      <c r="AK94" s="417"/>
      <c r="AL94" s="417"/>
      <c r="AM94" s="417"/>
      <c r="AN94" s="417"/>
      <c r="AO94" s="417"/>
      <c r="AP94" s="417"/>
      <c r="AQ94" s="417"/>
      <c r="AR94" s="417"/>
    </row>
    <row r="95" spans="1:44" ht="15" x14ac:dyDescent="0.25">
      <c r="A95" s="2"/>
      <c r="B95" s="380" t="str">
        <f>Inputs!C79</f>
        <v>Walking, Cycling, Waiting, Standing, and Transfer Time</v>
      </c>
      <c r="C95" s="11" t="s">
        <v>139</v>
      </c>
      <c r="D95" s="462">
        <f>Inputs!$E$79</f>
        <v>38.799999999999997</v>
      </c>
      <c r="E95" s="380"/>
      <c r="F95" s="417"/>
      <c r="G95" s="417"/>
      <c r="H95" s="417"/>
      <c r="I95" s="417"/>
      <c r="J95" s="417"/>
      <c r="K95" s="417"/>
      <c r="L95" s="417"/>
      <c r="M95" s="417"/>
      <c r="N95" s="417"/>
      <c r="O95" s="417"/>
      <c r="P95" s="417"/>
      <c r="Q95" s="417"/>
      <c r="R95" s="417"/>
      <c r="S95" s="417"/>
      <c r="T95" s="417"/>
      <c r="U95" s="417"/>
      <c r="V95" s="417"/>
      <c r="W95" s="417"/>
      <c r="X95" s="417"/>
      <c r="Y95" s="417"/>
      <c r="Z95" s="417"/>
      <c r="AA95" s="417"/>
      <c r="AB95" s="417"/>
      <c r="AC95" s="417"/>
      <c r="AD95" s="417"/>
      <c r="AE95" s="417"/>
      <c r="AF95" s="417"/>
      <c r="AG95" s="417"/>
      <c r="AH95" s="417"/>
      <c r="AI95" s="417"/>
      <c r="AJ95" s="417"/>
      <c r="AK95" s="417"/>
      <c r="AL95" s="417"/>
      <c r="AM95" s="417"/>
      <c r="AN95" s="417"/>
      <c r="AO95" s="417"/>
      <c r="AP95" s="417"/>
      <c r="AQ95" s="417"/>
      <c r="AR95" s="417"/>
    </row>
    <row r="96" spans="1:44" x14ac:dyDescent="0.2">
      <c r="A96" s="380"/>
      <c r="B96" s="380" t="s">
        <v>317</v>
      </c>
      <c r="C96" s="11" t="s">
        <v>318</v>
      </c>
      <c r="D96" s="440">
        <f>SUM(F96:AR96)</f>
        <v>9278.2931872617646</v>
      </c>
      <c r="E96" s="380"/>
      <c r="F96" s="417">
        <f>F93*$D$95</f>
        <v>214.3747539285572</v>
      </c>
      <c r="G96" s="417">
        <f t="shared" ref="G96:AR96" si="37">G93*$D$95</f>
        <v>215.53221765535096</v>
      </c>
      <c r="H96" s="417">
        <f t="shared" si="37"/>
        <v>216.69593082268889</v>
      </c>
      <c r="I96" s="417">
        <f t="shared" si="37"/>
        <v>217.86592717288721</v>
      </c>
      <c r="J96" s="417">
        <f t="shared" si="37"/>
        <v>219.04224063044549</v>
      </c>
      <c r="K96" s="417">
        <f t="shared" si="37"/>
        <v>220.22490530303031</v>
      </c>
      <c r="L96" s="417">
        <f t="shared" si="37"/>
        <v>221.41395548246422</v>
      </c>
      <c r="M96" s="417">
        <f t="shared" si="37"/>
        <v>222.60942564571997</v>
      </c>
      <c r="N96" s="417">
        <f t="shared" si="37"/>
        <v>223.81135045592026</v>
      </c>
      <c r="O96" s="417">
        <f t="shared" si="37"/>
        <v>225.01976476334283</v>
      </c>
      <c r="P96" s="417">
        <f t="shared" si="37"/>
        <v>226.2347036064308</v>
      </c>
      <c r="Q96" s="417">
        <f t="shared" si="37"/>
        <v>227.4562022128089</v>
      </c>
      <c r="R96" s="417">
        <f t="shared" si="37"/>
        <v>228.68429600030464</v>
      </c>
      <c r="S96" s="417">
        <f t="shared" si="37"/>
        <v>229.91902057797543</v>
      </c>
      <c r="T96" s="417">
        <f t="shared" si="37"/>
        <v>231.16041174714101</v>
      </c>
      <c r="U96" s="417">
        <f t="shared" si="37"/>
        <v>232.40850550242152</v>
      </c>
      <c r="V96" s="417">
        <f t="shared" si="37"/>
        <v>233.66333803278118</v>
      </c>
      <c r="W96" s="417">
        <f t="shared" si="37"/>
        <v>234.92494572257766</v>
      </c>
      <c r="X96" s="417">
        <f t="shared" si="37"/>
        <v>236.19336515261696</v>
      </c>
      <c r="Y96" s="417">
        <f t="shared" si="37"/>
        <v>237.46863310121421</v>
      </c>
      <c r="Z96" s="417">
        <f t="shared" si="37"/>
        <v>238.7507865452599</v>
      </c>
      <c r="AA96" s="417">
        <f t="shared" si="37"/>
        <v>240.03986266129232</v>
      </c>
      <c r="AB96" s="417">
        <f t="shared" si="37"/>
        <v>241.33589882657506</v>
      </c>
      <c r="AC96" s="417">
        <f t="shared" si="37"/>
        <v>242.63893262018129</v>
      </c>
      <c r="AD96" s="417">
        <f t="shared" si="37"/>
        <v>243.94900182408298</v>
      </c>
      <c r="AE96" s="417">
        <f t="shared" si="37"/>
        <v>245.26614442424673</v>
      </c>
      <c r="AF96" s="417">
        <f t="shared" si="37"/>
        <v>246.59039861173483</v>
      </c>
      <c r="AG96" s="417">
        <f t="shared" si="37"/>
        <v>247.92180278381289</v>
      </c>
      <c r="AH96" s="417">
        <f t="shared" si="37"/>
        <v>249.2603955450632</v>
      </c>
      <c r="AI96" s="417">
        <f t="shared" si="37"/>
        <v>250.60621570850384</v>
      </c>
      <c r="AJ96" s="417">
        <f t="shared" si="37"/>
        <v>251.9593022967143</v>
      </c>
      <c r="AK96" s="417">
        <f t="shared" si="37"/>
        <v>253.31969454296686</v>
      </c>
      <c r="AL96" s="417">
        <f t="shared" si="37"/>
        <v>254.68743189236426</v>
      </c>
      <c r="AM96" s="417">
        <f t="shared" si="37"/>
        <v>256.06255400298323</v>
      </c>
      <c r="AN96" s="417">
        <f t="shared" si="37"/>
        <v>257.44510074702475</v>
      </c>
      <c r="AO96" s="417">
        <f t="shared" si="37"/>
        <v>258.83511221196966</v>
      </c>
      <c r="AP96" s="417">
        <f t="shared" si="37"/>
        <v>260.23262870174153</v>
      </c>
      <c r="AQ96" s="417">
        <f t="shared" si="37"/>
        <v>261.63769073787489</v>
      </c>
      <c r="AR96" s="417">
        <f t="shared" si="37"/>
        <v>263.05033906069048</v>
      </c>
    </row>
    <row r="97" spans="1:44" x14ac:dyDescent="0.2">
      <c r="A97" s="380"/>
      <c r="B97" s="380" t="s">
        <v>79</v>
      </c>
      <c r="C97" s="181" t="s">
        <v>80</v>
      </c>
      <c r="D97" s="440">
        <f>Inputs!$E$32</f>
        <v>365</v>
      </c>
      <c r="E97" s="380"/>
      <c r="F97" s="417"/>
      <c r="G97" s="417"/>
      <c r="H97" s="417"/>
      <c r="I97" s="417"/>
      <c r="J97" s="417"/>
      <c r="K97" s="417"/>
      <c r="L97" s="417"/>
      <c r="M97" s="417"/>
      <c r="N97" s="417"/>
      <c r="O97" s="417"/>
      <c r="P97" s="417"/>
      <c r="Q97" s="417"/>
      <c r="R97" s="417"/>
      <c r="S97" s="417"/>
      <c r="T97" s="417"/>
      <c r="U97" s="417"/>
      <c r="V97" s="417"/>
      <c r="W97" s="417"/>
      <c r="X97" s="417"/>
      <c r="Y97" s="417"/>
      <c r="Z97" s="417"/>
      <c r="AA97" s="417"/>
      <c r="AB97" s="417"/>
      <c r="AC97" s="417"/>
      <c r="AD97" s="417"/>
      <c r="AE97" s="417"/>
      <c r="AF97" s="417"/>
      <c r="AG97" s="417"/>
      <c r="AH97" s="417"/>
      <c r="AI97" s="417"/>
      <c r="AJ97" s="417"/>
      <c r="AK97" s="417"/>
      <c r="AL97" s="417"/>
      <c r="AM97" s="417"/>
      <c r="AN97" s="417"/>
      <c r="AO97" s="417"/>
      <c r="AP97" s="417"/>
      <c r="AQ97" s="417"/>
      <c r="AR97" s="417"/>
    </row>
    <row r="98" spans="1:44" x14ac:dyDescent="0.2">
      <c r="A98" s="380"/>
      <c r="B98" s="380" t="s">
        <v>317</v>
      </c>
      <c r="C98" s="11" t="s">
        <v>310</v>
      </c>
      <c r="D98" s="440">
        <f>SUM(F98:AR98)</f>
        <v>3386577.0133505436</v>
      </c>
      <c r="E98" s="380"/>
      <c r="F98" s="417">
        <f>F96*$D$60</f>
        <v>78246.785183923377</v>
      </c>
      <c r="G98" s="417">
        <f t="shared" ref="G98:AR98" si="38">G96*$D$60</f>
        <v>78669.259444203097</v>
      </c>
      <c r="H98" s="417">
        <f t="shared" si="38"/>
        <v>79094.014750281451</v>
      </c>
      <c r="I98" s="417">
        <f t="shared" si="38"/>
        <v>79521.063418103833</v>
      </c>
      <c r="J98" s="417">
        <f t="shared" si="38"/>
        <v>79950.417830112608</v>
      </c>
      <c r="K98" s="417">
        <f t="shared" si="38"/>
        <v>80382.090435606064</v>
      </c>
      <c r="L98" s="417">
        <f t="shared" si="38"/>
        <v>80816.093751099441</v>
      </c>
      <c r="M98" s="417">
        <f t="shared" si="38"/>
        <v>81252.44036068779</v>
      </c>
      <c r="N98" s="417">
        <f t="shared" si="38"/>
        <v>81691.142916410899</v>
      </c>
      <c r="O98" s="417">
        <f t="shared" si="38"/>
        <v>82132.21413862014</v>
      </c>
      <c r="P98" s="417">
        <f t="shared" si="38"/>
        <v>82575.666816347235</v>
      </c>
      <c r="Q98" s="417">
        <f t="shared" si="38"/>
        <v>83021.513807675248</v>
      </c>
      <c r="R98" s="417">
        <f t="shared" si="38"/>
        <v>83469.768040111201</v>
      </c>
      <c r="S98" s="417">
        <f t="shared" si="38"/>
        <v>83920.442510961031</v>
      </c>
      <c r="T98" s="417">
        <f t="shared" si="38"/>
        <v>84373.550287706472</v>
      </c>
      <c r="U98" s="417">
        <f t="shared" si="38"/>
        <v>84829.104508383854</v>
      </c>
      <c r="V98" s="417">
        <f t="shared" si="38"/>
        <v>85287.118381965134</v>
      </c>
      <c r="W98" s="417">
        <f t="shared" si="38"/>
        <v>85747.605188740839</v>
      </c>
      <c r="X98" s="417">
        <f t="shared" si="38"/>
        <v>86210.578280705187</v>
      </c>
      <c r="Y98" s="417">
        <f t="shared" si="38"/>
        <v>86676.05108194318</v>
      </c>
      <c r="Z98" s="417">
        <f t="shared" si="38"/>
        <v>87144.037089019868</v>
      </c>
      <c r="AA98" s="417">
        <f t="shared" si="38"/>
        <v>87614.549871371695</v>
      </c>
      <c r="AB98" s="417">
        <f t="shared" si="38"/>
        <v>88087.603071699894</v>
      </c>
      <c r="AC98" s="417">
        <f t="shared" si="38"/>
        <v>88563.210406366168</v>
      </c>
      <c r="AD98" s="417">
        <f t="shared" si="38"/>
        <v>89041.385665790294</v>
      </c>
      <c r="AE98" s="417">
        <f t="shared" si="38"/>
        <v>89522.142714850052</v>
      </c>
      <c r="AF98" s="417">
        <f t="shared" si="38"/>
        <v>90005.495493283219</v>
      </c>
      <c r="AG98" s="417">
        <f t="shared" si="38"/>
        <v>90491.45801609171</v>
      </c>
      <c r="AH98" s="417">
        <f t="shared" si="38"/>
        <v>90980.044373948069</v>
      </c>
      <c r="AI98" s="417">
        <f t="shared" si="38"/>
        <v>91471.268733603894</v>
      </c>
      <c r="AJ98" s="417">
        <f t="shared" si="38"/>
        <v>91965.145338300717</v>
      </c>
      <c r="AK98" s="417">
        <f t="shared" si="38"/>
        <v>92461.68850818291</v>
      </c>
      <c r="AL98" s="417">
        <f t="shared" si="38"/>
        <v>92960.912640712952</v>
      </c>
      <c r="AM98" s="417">
        <f t="shared" si="38"/>
        <v>93462.832211088884</v>
      </c>
      <c r="AN98" s="417">
        <f t="shared" si="38"/>
        <v>93967.461772664028</v>
      </c>
      <c r="AO98" s="417">
        <f t="shared" si="38"/>
        <v>94474.815957368919</v>
      </c>
      <c r="AP98" s="417">
        <f t="shared" si="38"/>
        <v>94984.909476135654</v>
      </c>
      <c r="AQ98" s="417">
        <f t="shared" si="38"/>
        <v>95497.757119324335</v>
      </c>
      <c r="AR98" s="417">
        <f t="shared" si="38"/>
        <v>96013.373757152018</v>
      </c>
    </row>
    <row r="99" spans="1:44" x14ac:dyDescent="0.2">
      <c r="A99" s="380"/>
      <c r="B99" s="380"/>
      <c r="C99" s="181"/>
      <c r="D99" s="440"/>
      <c r="E99" s="380"/>
      <c r="F99" s="417"/>
      <c r="G99" s="417"/>
      <c r="H99" s="417"/>
      <c r="I99" s="417"/>
      <c r="J99" s="417"/>
      <c r="K99" s="417"/>
      <c r="L99" s="417"/>
      <c r="M99" s="417"/>
      <c r="N99" s="417"/>
      <c r="O99" s="417"/>
      <c r="P99" s="417"/>
      <c r="Q99" s="417"/>
      <c r="R99" s="417"/>
      <c r="S99" s="417"/>
      <c r="T99" s="417"/>
      <c r="U99" s="417"/>
      <c r="V99" s="417"/>
      <c r="W99" s="417"/>
      <c r="X99" s="417"/>
      <c r="Y99" s="417"/>
      <c r="Z99" s="417"/>
      <c r="AA99" s="417"/>
      <c r="AB99" s="417"/>
      <c r="AC99" s="417"/>
      <c r="AD99" s="417"/>
      <c r="AE99" s="417"/>
      <c r="AF99" s="417"/>
      <c r="AG99" s="417"/>
      <c r="AH99" s="417"/>
      <c r="AI99" s="417"/>
      <c r="AJ99" s="417"/>
      <c r="AK99" s="417"/>
      <c r="AL99" s="417"/>
      <c r="AM99" s="417"/>
      <c r="AN99" s="417"/>
      <c r="AO99" s="417"/>
      <c r="AP99" s="417"/>
      <c r="AQ99" s="417"/>
      <c r="AR99" s="417"/>
    </row>
    <row r="100" spans="1:44" ht="15" x14ac:dyDescent="0.25">
      <c r="A100" s="2" t="s">
        <v>319</v>
      </c>
      <c r="B100" s="380"/>
      <c r="C100" s="181"/>
      <c r="D100" s="440"/>
      <c r="E100" s="380"/>
      <c r="F100" s="417"/>
      <c r="G100" s="417"/>
      <c r="H100" s="417"/>
      <c r="I100" s="417"/>
      <c r="J100" s="417"/>
      <c r="K100" s="417"/>
      <c r="L100" s="417"/>
      <c r="M100" s="417"/>
      <c r="N100" s="417"/>
      <c r="O100" s="417"/>
      <c r="P100" s="417"/>
      <c r="Q100" s="417"/>
      <c r="R100" s="417"/>
      <c r="S100" s="417"/>
      <c r="T100" s="417"/>
      <c r="U100" s="417"/>
      <c r="V100" s="417"/>
      <c r="W100" s="417"/>
      <c r="X100" s="417"/>
      <c r="Y100" s="417"/>
      <c r="Z100" s="417"/>
      <c r="AA100" s="417"/>
      <c r="AB100" s="417"/>
      <c r="AC100" s="417"/>
      <c r="AD100" s="417"/>
      <c r="AE100" s="417"/>
      <c r="AF100" s="417"/>
      <c r="AG100" s="417"/>
      <c r="AH100" s="417"/>
      <c r="AI100" s="417"/>
      <c r="AJ100" s="417"/>
      <c r="AK100" s="417"/>
      <c r="AL100" s="417"/>
      <c r="AM100" s="417"/>
      <c r="AN100" s="417"/>
      <c r="AO100" s="417"/>
      <c r="AP100" s="417"/>
      <c r="AQ100" s="417"/>
      <c r="AR100" s="417"/>
    </row>
    <row r="101" spans="1:44" x14ac:dyDescent="0.2">
      <c r="A101" s="380"/>
      <c r="B101" s="380" t="s">
        <v>320</v>
      </c>
      <c r="C101" s="11" t="s">
        <v>310</v>
      </c>
      <c r="D101" s="440">
        <f>SUM(F101:AR101)</f>
        <v>93772419.041611403</v>
      </c>
      <c r="E101" s="380"/>
      <c r="F101" s="417">
        <f>F86+F98</f>
        <v>78246.785183923377</v>
      </c>
      <c r="G101" s="417">
        <f t="shared" ref="G101:AR101" si="39">G86+G98</f>
        <v>78669.259444203097</v>
      </c>
      <c r="H101" s="417">
        <f t="shared" si="39"/>
        <v>79094.014750281451</v>
      </c>
      <c r="I101" s="417">
        <f t="shared" si="39"/>
        <v>79521.063418103833</v>
      </c>
      <c r="J101" s="417">
        <f t="shared" si="39"/>
        <v>79950.417830112608</v>
      </c>
      <c r="K101" s="417">
        <f t="shared" si="39"/>
        <v>943720.2404356061</v>
      </c>
      <c r="L101" s="417">
        <f t="shared" si="39"/>
        <v>1052946.3024467516</v>
      </c>
      <c r="M101" s="417">
        <f t="shared" si="39"/>
        <v>1162174.7077519922</v>
      </c>
      <c r="N101" s="417">
        <f t="shared" si="39"/>
        <v>1271405.4690033675</v>
      </c>
      <c r="O101" s="417">
        <f t="shared" si="39"/>
        <v>1380638.5989212287</v>
      </c>
      <c r="P101" s="417">
        <f t="shared" si="39"/>
        <v>1489874.1102946082</v>
      </c>
      <c r="Q101" s="417">
        <f t="shared" si="39"/>
        <v>1599112.0159815885</v>
      </c>
      <c r="R101" s="417">
        <f t="shared" si="39"/>
        <v>1708352.3289096765</v>
      </c>
      <c r="S101" s="417">
        <f t="shared" si="39"/>
        <v>1817595.0620761784</v>
      </c>
      <c r="T101" s="417">
        <f t="shared" si="39"/>
        <v>1926840.2285485759</v>
      </c>
      <c r="U101" s="417">
        <f t="shared" si="39"/>
        <v>2036087.8414649055</v>
      </c>
      <c r="V101" s="417">
        <f t="shared" si="39"/>
        <v>2145337.9140341389</v>
      </c>
      <c r="W101" s="417">
        <f t="shared" si="39"/>
        <v>2254590.4595365669</v>
      </c>
      <c r="X101" s="417">
        <f t="shared" si="39"/>
        <v>2363845.4913241826</v>
      </c>
      <c r="Y101" s="417">
        <f t="shared" si="39"/>
        <v>2473103.0228210734</v>
      </c>
      <c r="Z101" s="417">
        <f t="shared" si="39"/>
        <v>2582363.0675238026</v>
      </c>
      <c r="AA101" s="417">
        <f t="shared" si="39"/>
        <v>2691625.6390018063</v>
      </c>
      <c r="AB101" s="417">
        <f t="shared" si="39"/>
        <v>2800890.7508977861</v>
      </c>
      <c r="AC101" s="417">
        <f t="shared" si="39"/>
        <v>2910158.4169281051</v>
      </c>
      <c r="AD101" s="417">
        <f t="shared" si="39"/>
        <v>3019428.650883181</v>
      </c>
      <c r="AE101" s="417">
        <f t="shared" si="39"/>
        <v>3128701.4666278935</v>
      </c>
      <c r="AF101" s="417">
        <f t="shared" si="39"/>
        <v>3237976.8781019785</v>
      </c>
      <c r="AG101" s="417">
        <f t="shared" si="39"/>
        <v>3347254.899320439</v>
      </c>
      <c r="AH101" s="417">
        <f t="shared" si="39"/>
        <v>3456535.5443739477</v>
      </c>
      <c r="AI101" s="417">
        <f t="shared" si="39"/>
        <v>3565818.8274292555</v>
      </c>
      <c r="AJ101" s="417">
        <f t="shared" si="39"/>
        <v>3675104.7627296052</v>
      </c>
      <c r="AK101" s="417">
        <f t="shared" si="39"/>
        <v>3784393.3645951385</v>
      </c>
      <c r="AL101" s="417">
        <f t="shared" si="39"/>
        <v>3893684.6474233209</v>
      </c>
      <c r="AM101" s="417">
        <f t="shared" si="39"/>
        <v>4002978.6256893491</v>
      </c>
      <c r="AN101" s="417">
        <f t="shared" si="39"/>
        <v>4112275.3139465763</v>
      </c>
      <c r="AO101" s="417">
        <f t="shared" si="39"/>
        <v>4221574.7268269332</v>
      </c>
      <c r="AP101" s="417">
        <f t="shared" si="39"/>
        <v>4330876.8790413523</v>
      </c>
      <c r="AQ101" s="417">
        <f t="shared" si="39"/>
        <v>4440181.785380193</v>
      </c>
      <c r="AR101" s="417">
        <f t="shared" si="39"/>
        <v>4549489.4607136734</v>
      </c>
    </row>
    <row r="102" spans="1:44" x14ac:dyDescent="0.2">
      <c r="A102" s="380"/>
      <c r="B102" s="380"/>
      <c r="C102" s="181"/>
      <c r="D102" s="440"/>
      <c r="E102" s="380"/>
      <c r="F102" s="380"/>
      <c r="G102" s="380"/>
      <c r="H102" s="380"/>
      <c r="I102" s="380"/>
      <c r="J102" s="380"/>
      <c r="K102" s="380"/>
      <c r="L102" s="380"/>
      <c r="M102" s="380"/>
      <c r="N102" s="380"/>
      <c r="O102" s="380"/>
      <c r="P102" s="380"/>
      <c r="Q102" s="380"/>
      <c r="R102" s="380"/>
      <c r="S102" s="380"/>
      <c r="T102" s="380"/>
      <c r="U102" s="380"/>
      <c r="V102" s="380"/>
      <c r="W102" s="380"/>
      <c r="X102" s="380"/>
      <c r="Y102" s="380"/>
      <c r="Z102" s="380"/>
      <c r="AA102" s="380"/>
      <c r="AB102" s="380"/>
      <c r="AC102" s="380"/>
      <c r="AD102" s="380"/>
      <c r="AE102" s="380"/>
      <c r="AF102" s="380"/>
      <c r="AG102" s="380"/>
      <c r="AH102" s="380"/>
      <c r="AI102" s="380"/>
      <c r="AJ102" s="380"/>
      <c r="AK102" s="380"/>
      <c r="AL102" s="380"/>
      <c r="AM102" s="380"/>
      <c r="AN102" s="380"/>
      <c r="AO102" s="380"/>
      <c r="AP102" s="380"/>
      <c r="AQ102" s="380"/>
      <c r="AR102" s="380"/>
    </row>
    <row r="103" spans="1:44" s="4" customFormat="1" x14ac:dyDescent="0.2">
      <c r="A103" s="449" t="s">
        <v>296</v>
      </c>
      <c r="B103" s="449"/>
      <c r="C103" s="182"/>
      <c r="D103" s="450"/>
      <c r="E103" s="450"/>
      <c r="F103" s="450"/>
      <c r="G103" s="450"/>
      <c r="H103" s="450"/>
      <c r="I103" s="450"/>
      <c r="J103" s="450"/>
      <c r="K103" s="450"/>
      <c r="L103" s="450"/>
      <c r="M103" s="450"/>
      <c r="N103" s="450"/>
      <c r="O103" s="450"/>
      <c r="P103" s="450"/>
      <c r="Q103" s="450"/>
      <c r="R103" s="450"/>
      <c r="S103" s="450"/>
      <c r="T103" s="450"/>
      <c r="U103" s="450"/>
      <c r="V103" s="450"/>
      <c r="W103" s="450"/>
      <c r="X103" s="450"/>
      <c r="Y103" s="450"/>
      <c r="Z103" s="450"/>
      <c r="AA103" s="450"/>
      <c r="AB103" s="450"/>
      <c r="AC103" s="450"/>
      <c r="AD103" s="450"/>
      <c r="AE103" s="450"/>
      <c r="AF103" s="450"/>
      <c r="AG103" s="450"/>
      <c r="AH103" s="450"/>
      <c r="AI103" s="450"/>
      <c r="AJ103" s="450"/>
      <c r="AK103" s="450"/>
      <c r="AL103" s="450"/>
      <c r="AM103" s="450"/>
      <c r="AN103" s="450"/>
      <c r="AO103" s="450"/>
      <c r="AP103" s="450"/>
      <c r="AQ103" s="450"/>
      <c r="AR103" s="450"/>
    </row>
    <row r="104" spans="1:44" ht="15" x14ac:dyDescent="0.25">
      <c r="A104" s="2" t="s">
        <v>297</v>
      </c>
      <c r="B104" s="380"/>
      <c r="C104" s="10"/>
      <c r="D104" s="380"/>
      <c r="E104" s="380"/>
      <c r="F104" s="417"/>
      <c r="G104" s="417"/>
      <c r="H104" s="417"/>
      <c r="I104" s="417"/>
      <c r="J104" s="417"/>
      <c r="K104" s="417"/>
      <c r="L104" s="417"/>
      <c r="M104" s="417"/>
      <c r="N104" s="417"/>
      <c r="O104" s="417"/>
      <c r="P104" s="417"/>
      <c r="Q104" s="417"/>
      <c r="R104" s="417"/>
      <c r="S104" s="417"/>
      <c r="T104" s="417"/>
      <c r="U104" s="417"/>
      <c r="V104" s="417"/>
      <c r="W104" s="417"/>
      <c r="X104" s="417"/>
      <c r="Y104" s="417"/>
      <c r="Z104" s="417"/>
      <c r="AA104" s="417"/>
      <c r="AB104" s="417"/>
      <c r="AC104" s="417"/>
      <c r="AD104" s="417"/>
      <c r="AE104" s="417"/>
      <c r="AF104" s="417"/>
      <c r="AG104" s="417"/>
      <c r="AH104" s="417"/>
      <c r="AI104" s="417"/>
      <c r="AJ104" s="417"/>
      <c r="AK104" s="417"/>
      <c r="AL104" s="417"/>
      <c r="AM104" s="417"/>
      <c r="AN104" s="417"/>
      <c r="AO104" s="417"/>
      <c r="AP104" s="417"/>
      <c r="AQ104" s="417"/>
      <c r="AR104" s="417"/>
    </row>
    <row r="105" spans="1:44" x14ac:dyDescent="0.2">
      <c r="A105" s="380"/>
      <c r="B105" s="380" t="s">
        <v>252</v>
      </c>
      <c r="C105" s="181" t="s">
        <v>86</v>
      </c>
      <c r="D105" s="440">
        <f>SUM(F105:AR105)</f>
        <v>38411912.133695692</v>
      </c>
      <c r="E105" s="380"/>
      <c r="F105" s="417">
        <f t="shared" ref="F105:AR105" si="40">(F$64-F$101)*F$11*F15</f>
        <v>0</v>
      </c>
      <c r="G105" s="417">
        <f t="shared" si="40"/>
        <v>0</v>
      </c>
      <c r="H105" s="417">
        <f t="shared" si="40"/>
        <v>0</v>
      </c>
      <c r="I105" s="417">
        <f t="shared" si="40"/>
        <v>0</v>
      </c>
      <c r="J105" s="417">
        <f t="shared" si="40"/>
        <v>0</v>
      </c>
      <c r="K105" s="417">
        <f t="shared" si="40"/>
        <v>0</v>
      </c>
      <c r="L105" s="417">
        <f t="shared" si="40"/>
        <v>0</v>
      </c>
      <c r="M105" s="417">
        <f t="shared" si="40"/>
        <v>0</v>
      </c>
      <c r="N105" s="417">
        <f t="shared" si="40"/>
        <v>0</v>
      </c>
      <c r="O105" s="417">
        <f t="shared" si="40"/>
        <v>904472.6073695654</v>
      </c>
      <c r="P105" s="417">
        <f t="shared" si="40"/>
        <v>1011432.9230869568</v>
      </c>
      <c r="Q105" s="417">
        <f t="shared" si="40"/>
        <v>1118393.2388043473</v>
      </c>
      <c r="R105" s="417">
        <f t="shared" si="40"/>
        <v>1225353.554521739</v>
      </c>
      <c r="S105" s="417">
        <f t="shared" si="40"/>
        <v>1332313.8702391302</v>
      </c>
      <c r="T105" s="417">
        <f t="shared" si="40"/>
        <v>1439274.1859565221</v>
      </c>
      <c r="U105" s="417">
        <f t="shared" si="40"/>
        <v>1546234.5016739136</v>
      </c>
      <c r="V105" s="417">
        <f t="shared" si="40"/>
        <v>1653194.8173913048</v>
      </c>
      <c r="W105" s="417">
        <f t="shared" si="40"/>
        <v>1760155.1331086964</v>
      </c>
      <c r="X105" s="417">
        <f t="shared" si="40"/>
        <v>1867115.4488260886</v>
      </c>
      <c r="Y105" s="417">
        <f t="shared" si="40"/>
        <v>1974075.7645434802</v>
      </c>
      <c r="Z105" s="417">
        <f t="shared" si="40"/>
        <v>2081036.080260871</v>
      </c>
      <c r="AA105" s="417">
        <f t="shared" si="40"/>
        <v>2187996.3959782636</v>
      </c>
      <c r="AB105" s="417">
        <f t="shared" si="40"/>
        <v>2294956.7116956557</v>
      </c>
      <c r="AC105" s="417">
        <f t="shared" si="40"/>
        <v>2401917.0274130469</v>
      </c>
      <c r="AD105" s="417">
        <f t="shared" si="40"/>
        <v>2508877.3431304395</v>
      </c>
      <c r="AE105" s="417">
        <f t="shared" si="40"/>
        <v>2615837.6588478289</v>
      </c>
      <c r="AF105" s="417">
        <f t="shared" si="40"/>
        <v>2722797.9745652219</v>
      </c>
      <c r="AG105" s="417">
        <f t="shared" si="40"/>
        <v>2829758.2902826122</v>
      </c>
      <c r="AH105" s="417">
        <f t="shared" si="40"/>
        <v>2936718.6060000048</v>
      </c>
      <c r="AI105" s="417">
        <f t="shared" si="40"/>
        <v>0</v>
      </c>
      <c r="AJ105" s="417">
        <f t="shared" si="40"/>
        <v>0</v>
      </c>
      <c r="AK105" s="417">
        <f t="shared" si="40"/>
        <v>0</v>
      </c>
      <c r="AL105" s="417">
        <f t="shared" si="40"/>
        <v>0</v>
      </c>
      <c r="AM105" s="417">
        <f t="shared" si="40"/>
        <v>0</v>
      </c>
      <c r="AN105" s="417">
        <f t="shared" si="40"/>
        <v>0</v>
      </c>
      <c r="AO105" s="417">
        <f t="shared" si="40"/>
        <v>0</v>
      </c>
      <c r="AP105" s="417">
        <f t="shared" si="40"/>
        <v>0</v>
      </c>
      <c r="AQ105" s="417">
        <f t="shared" si="40"/>
        <v>0</v>
      </c>
      <c r="AR105" s="417">
        <f t="shared" si="40"/>
        <v>0</v>
      </c>
    </row>
    <row r="106" spans="1:44" x14ac:dyDescent="0.2">
      <c r="A106" s="380"/>
      <c r="B106" s="380" t="str">
        <f>Inputs!$C$30</f>
        <v>2% Discount Factor</v>
      </c>
      <c r="C106" s="181" t="s">
        <v>86</v>
      </c>
      <c r="D106" s="440">
        <f>SUM(F106:AR106)</f>
        <v>28510830.055865794</v>
      </c>
      <c r="E106" s="380"/>
      <c r="F106" s="417">
        <f t="shared" ref="F106:AR106" si="41">(F$64-F$101)*F$11*F16</f>
        <v>0</v>
      </c>
      <c r="G106" s="417">
        <f t="shared" si="41"/>
        <v>0</v>
      </c>
      <c r="H106" s="417">
        <f t="shared" si="41"/>
        <v>0</v>
      </c>
      <c r="I106" s="417">
        <f t="shared" si="41"/>
        <v>0</v>
      </c>
      <c r="J106" s="417">
        <f t="shared" si="41"/>
        <v>0</v>
      </c>
      <c r="K106" s="417">
        <f t="shared" si="41"/>
        <v>0</v>
      </c>
      <c r="L106" s="417">
        <f t="shared" si="41"/>
        <v>0</v>
      </c>
      <c r="M106" s="417">
        <f t="shared" si="41"/>
        <v>0</v>
      </c>
      <c r="N106" s="417">
        <f t="shared" si="41"/>
        <v>0</v>
      </c>
      <c r="O106" s="417">
        <f t="shared" si="41"/>
        <v>835592.88128464832</v>
      </c>
      <c r="P106" s="417">
        <f t="shared" si="41"/>
        <v>916085.96051618853</v>
      </c>
      <c r="Q106" s="417">
        <f t="shared" si="41"/>
        <v>993101.19008878816</v>
      </c>
      <c r="R106" s="417">
        <f t="shared" si="41"/>
        <v>1066744.0092896393</v>
      </c>
      <c r="S106" s="417">
        <f t="shared" si="41"/>
        <v>1137117.0596521294</v>
      </c>
      <c r="T106" s="417">
        <f t="shared" si="41"/>
        <v>1204320.2541337037</v>
      </c>
      <c r="U106" s="417">
        <f t="shared" si="41"/>
        <v>1268450.8446565031</v>
      </c>
      <c r="V106" s="417">
        <f t="shared" si="41"/>
        <v>1329603.4880484068</v>
      </c>
      <c r="W106" s="417">
        <f t="shared" si="41"/>
        <v>1387870.3104212293</v>
      </c>
      <c r="X106" s="417">
        <f t="shared" si="41"/>
        <v>1443340.9700220122</v>
      </c>
      <c r="Y106" s="417">
        <f t="shared" si="41"/>
        <v>1496102.7185925364</v>
      </c>
      <c r="Z106" s="417">
        <f t="shared" si="41"/>
        <v>1546240.4612713975</v>
      </c>
      <c r="AA106" s="417">
        <f t="shared" si="41"/>
        <v>1593836.8150721986</v>
      </c>
      <c r="AB106" s="417">
        <f t="shared" si="41"/>
        <v>1638972.1659706722</v>
      </c>
      <c r="AC106" s="417">
        <f t="shared" si="41"/>
        <v>1681724.7246328068</v>
      </c>
      <c r="AD106" s="417">
        <f t="shared" si="41"/>
        <v>1722170.5808153159</v>
      </c>
      <c r="AE106" s="417">
        <f t="shared" si="41"/>
        <v>1760383.7564690842</v>
      </c>
      <c r="AF106" s="417">
        <f t="shared" si="41"/>
        <v>1796436.2575755657</v>
      </c>
      <c r="AG106" s="417">
        <f t="shared" si="41"/>
        <v>1830398.1247453552</v>
      </c>
      <c r="AH106" s="417">
        <f t="shared" si="41"/>
        <v>1862337.4826076138</v>
      </c>
      <c r="AI106" s="417">
        <f t="shared" si="41"/>
        <v>0</v>
      </c>
      <c r="AJ106" s="417">
        <f t="shared" si="41"/>
        <v>0</v>
      </c>
      <c r="AK106" s="417">
        <f t="shared" si="41"/>
        <v>0</v>
      </c>
      <c r="AL106" s="417">
        <f t="shared" si="41"/>
        <v>0</v>
      </c>
      <c r="AM106" s="417">
        <f t="shared" si="41"/>
        <v>0</v>
      </c>
      <c r="AN106" s="417">
        <f t="shared" si="41"/>
        <v>0</v>
      </c>
      <c r="AO106" s="417">
        <f t="shared" si="41"/>
        <v>0</v>
      </c>
      <c r="AP106" s="417">
        <f t="shared" si="41"/>
        <v>0</v>
      </c>
      <c r="AQ106" s="417">
        <f t="shared" si="41"/>
        <v>0</v>
      </c>
      <c r="AR106" s="417">
        <f t="shared" si="41"/>
        <v>0</v>
      </c>
    </row>
    <row r="107" spans="1:44" x14ac:dyDescent="0.2">
      <c r="A107" s="380"/>
      <c r="B107" s="380" t="str">
        <f>Inputs!$C$31</f>
        <v>3.1% Discount Factor</v>
      </c>
      <c r="C107" s="181" t="s">
        <v>86</v>
      </c>
      <c r="D107" s="440">
        <f>SUM(F107:AR107)</f>
        <v>24382058.165832594</v>
      </c>
      <c r="E107" s="380"/>
      <c r="F107" s="417">
        <f t="shared" ref="F107:AR107" si="42">(F$64-F$101)*F$11*F17</f>
        <v>0</v>
      </c>
      <c r="G107" s="417">
        <f t="shared" si="42"/>
        <v>0</v>
      </c>
      <c r="H107" s="417">
        <f t="shared" si="42"/>
        <v>0</v>
      </c>
      <c r="I107" s="417">
        <f t="shared" si="42"/>
        <v>0</v>
      </c>
      <c r="J107" s="417">
        <f t="shared" si="42"/>
        <v>0</v>
      </c>
      <c r="K107" s="417">
        <f t="shared" si="42"/>
        <v>0</v>
      </c>
      <c r="L107" s="417">
        <f t="shared" si="42"/>
        <v>0</v>
      </c>
      <c r="M107" s="417">
        <f t="shared" si="42"/>
        <v>0</v>
      </c>
      <c r="N107" s="417">
        <f t="shared" si="42"/>
        <v>0</v>
      </c>
      <c r="O107" s="417">
        <f t="shared" si="42"/>
        <v>800498.93290924793</v>
      </c>
      <c r="P107" s="417">
        <f t="shared" si="42"/>
        <v>868247.93644309905</v>
      </c>
      <c r="Q107" s="417">
        <f t="shared" si="42"/>
        <v>931199.08636010287</v>
      </c>
      <c r="R107" s="417">
        <f t="shared" si="42"/>
        <v>989579.65497457981</v>
      </c>
      <c r="S107" s="417">
        <f t="shared" si="42"/>
        <v>1043607.5850360269</v>
      </c>
      <c r="T107" s="417">
        <f t="shared" si="42"/>
        <v>1093491.8452979068</v>
      </c>
      <c r="U107" s="417">
        <f t="shared" si="42"/>
        <v>1139432.7731386726</v>
      </c>
      <c r="V107" s="417">
        <f t="shared" si="42"/>
        <v>1181622.4046922098</v>
      </c>
      <c r="W107" s="417">
        <f t="shared" si="42"/>
        <v>1220244.7929290575</v>
      </c>
      <c r="X107" s="417">
        <f t="shared" si="42"/>
        <v>1255476.3141145417</v>
      </c>
      <c r="Y107" s="417">
        <f t="shared" si="42"/>
        <v>1287485.9630552086</v>
      </c>
      <c r="Z107" s="417">
        <f t="shared" si="42"/>
        <v>1316435.6375307254</v>
      </c>
      <c r="AA107" s="417">
        <f t="shared" si="42"/>
        <v>1342480.412294664</v>
      </c>
      <c r="AB107" s="417">
        <f t="shared" si="42"/>
        <v>1365768.8030142889</v>
      </c>
      <c r="AC107" s="417">
        <f t="shared" si="42"/>
        <v>1386443.0205066784</v>
      </c>
      <c r="AD107" s="417">
        <f t="shared" si="42"/>
        <v>1404639.2156160786</v>
      </c>
      <c r="AE107" s="417">
        <f t="shared" si="42"/>
        <v>1420487.7150654388</v>
      </c>
      <c r="AF107" s="417">
        <f t="shared" si="42"/>
        <v>1434113.2486035314</v>
      </c>
      <c r="AG107" s="417">
        <f t="shared" si="42"/>
        <v>1445635.1677578401</v>
      </c>
      <c r="AH107" s="417">
        <f t="shared" si="42"/>
        <v>1455167.6564926989</v>
      </c>
      <c r="AI107" s="417">
        <f t="shared" si="42"/>
        <v>0</v>
      </c>
      <c r="AJ107" s="417">
        <f t="shared" si="42"/>
        <v>0</v>
      </c>
      <c r="AK107" s="417">
        <f t="shared" si="42"/>
        <v>0</v>
      </c>
      <c r="AL107" s="417">
        <f t="shared" si="42"/>
        <v>0</v>
      </c>
      <c r="AM107" s="417">
        <f t="shared" si="42"/>
        <v>0</v>
      </c>
      <c r="AN107" s="417">
        <f t="shared" si="42"/>
        <v>0</v>
      </c>
      <c r="AO107" s="417">
        <f t="shared" si="42"/>
        <v>0</v>
      </c>
      <c r="AP107" s="417">
        <f t="shared" si="42"/>
        <v>0</v>
      </c>
      <c r="AQ107" s="417">
        <f t="shared" si="42"/>
        <v>0</v>
      </c>
      <c r="AR107" s="417">
        <f t="shared" si="42"/>
        <v>0</v>
      </c>
    </row>
    <row r="108" spans="1:44" x14ac:dyDescent="0.2">
      <c r="A108" s="380"/>
      <c r="B108" s="380"/>
      <c r="C108" s="52"/>
      <c r="D108" s="440"/>
      <c r="E108" s="380"/>
      <c r="F108" s="417"/>
      <c r="G108" s="417"/>
      <c r="H108" s="417"/>
      <c r="I108" s="417"/>
      <c r="J108" s="417"/>
      <c r="K108" s="417"/>
      <c r="L108" s="417"/>
      <c r="M108" s="417"/>
      <c r="N108" s="417"/>
      <c r="O108" s="417"/>
      <c r="P108" s="417"/>
      <c r="Q108" s="417"/>
      <c r="R108" s="417"/>
      <c r="S108" s="417"/>
      <c r="T108" s="417"/>
      <c r="U108" s="417"/>
      <c r="V108" s="417"/>
      <c r="W108" s="417"/>
      <c r="X108" s="417"/>
      <c r="Y108" s="417"/>
      <c r="Z108" s="417"/>
      <c r="AA108" s="417"/>
      <c r="AB108" s="417"/>
      <c r="AC108" s="417"/>
      <c r="AD108" s="417"/>
      <c r="AE108" s="417"/>
      <c r="AF108" s="417"/>
      <c r="AG108" s="417"/>
      <c r="AH108" s="417"/>
      <c r="AI108" s="417"/>
      <c r="AJ108" s="417"/>
      <c r="AK108" s="417"/>
      <c r="AL108" s="417"/>
      <c r="AM108" s="417"/>
      <c r="AN108" s="417"/>
      <c r="AO108" s="417"/>
      <c r="AP108" s="417"/>
      <c r="AQ108" s="417"/>
      <c r="AR108" s="417"/>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BF42E-ADCC-4A1F-BD9D-262CFA48CCE9}">
  <sheetPr>
    <tabColor theme="9"/>
  </sheetPr>
  <dimension ref="A1:AS101"/>
  <sheetViews>
    <sheetView workbookViewId="0">
      <pane xSplit="4" ySplit="7" topLeftCell="E86" activePane="bottomRight" state="frozen"/>
      <selection pane="topRight" activeCell="E1" sqref="E1"/>
      <selection pane="bottomLeft" activeCell="A8" sqref="A8"/>
      <selection pane="bottomRight" activeCell="D23" sqref="D23"/>
    </sheetView>
  </sheetViews>
  <sheetFormatPr defaultColWidth="0" defaultRowHeight="14.25" x14ac:dyDescent="0.2"/>
  <cols>
    <col min="1" max="1" width="10" style="1" customWidth="1"/>
    <col min="2" max="2" width="32.5703125" style="1" bestFit="1" customWidth="1"/>
    <col min="3" max="3" width="22.28515625" style="1" bestFit="1" customWidth="1"/>
    <col min="4" max="4" width="15.140625" style="1" bestFit="1" customWidth="1"/>
    <col min="5" max="5" width="1.5703125" style="1" customWidth="1"/>
    <col min="6" max="44" width="14.42578125" style="1" customWidth="1"/>
    <col min="45" max="45" width="9.140625" style="1" customWidth="1"/>
    <col min="46" max="16384" width="9.140625" style="1" hidden="1"/>
  </cols>
  <sheetData>
    <row r="1" spans="1:44" ht="19.5" x14ac:dyDescent="0.3">
      <c r="A1" s="3" t="str">
        <f>Summary!$A$1</f>
        <v>Multimodal Improvements to Safely Connect Tulsa at US-75 and 81st Street Interchange</v>
      </c>
      <c r="B1" s="380"/>
      <c r="C1" s="380"/>
      <c r="D1" s="380"/>
      <c r="E1" s="380"/>
      <c r="F1" s="380"/>
      <c r="G1" s="380"/>
      <c r="H1" s="380"/>
      <c r="I1" s="380"/>
      <c r="J1" s="380"/>
      <c r="K1" s="380"/>
      <c r="L1" s="380"/>
      <c r="M1" s="380"/>
      <c r="N1" s="380"/>
      <c r="O1" s="380"/>
      <c r="P1" s="380"/>
      <c r="Q1" s="380"/>
      <c r="R1" s="380"/>
      <c r="S1" s="380"/>
      <c r="T1" s="380"/>
      <c r="U1" s="380"/>
      <c r="V1" s="380"/>
      <c r="W1" s="380"/>
      <c r="X1" s="380"/>
      <c r="Y1" s="380"/>
      <c r="Z1" s="380"/>
      <c r="AA1" s="380"/>
      <c r="AB1" s="380"/>
      <c r="AC1" s="380"/>
      <c r="AD1" s="380"/>
      <c r="AE1" s="380"/>
      <c r="AF1" s="380"/>
      <c r="AG1" s="380"/>
      <c r="AH1" s="380"/>
      <c r="AI1" s="380"/>
      <c r="AJ1" s="380"/>
      <c r="AK1" s="380"/>
      <c r="AL1" s="380"/>
      <c r="AM1" s="380"/>
      <c r="AN1" s="380"/>
      <c r="AO1" s="380"/>
      <c r="AP1" s="380"/>
      <c r="AQ1" s="380"/>
      <c r="AR1" s="380"/>
    </row>
    <row r="2" spans="1:44" ht="19.5" x14ac:dyDescent="0.3">
      <c r="A2" s="3" t="s">
        <v>322</v>
      </c>
      <c r="B2" s="380"/>
      <c r="C2" s="7"/>
      <c r="D2" s="380"/>
      <c r="E2" s="380"/>
      <c r="F2" s="380"/>
      <c r="G2" s="380"/>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row>
    <row r="3" spans="1:44" x14ac:dyDescent="0.2">
      <c r="A3" s="381">
        <f ca="1">Summary!A3</f>
        <v>45687</v>
      </c>
      <c r="B3" s="380"/>
      <c r="C3" s="358" t="s">
        <v>259</v>
      </c>
      <c r="D3" s="359">
        <f>Summary!$E$9</f>
        <v>1.8138898580989069</v>
      </c>
      <c r="E3" s="380"/>
      <c r="F3" s="380"/>
      <c r="G3" s="380"/>
      <c r="H3" s="380"/>
      <c r="I3" s="380"/>
      <c r="J3" s="380"/>
      <c r="K3" s="380"/>
      <c r="L3" s="380"/>
      <c r="M3" s="380"/>
      <c r="N3" s="380"/>
      <c r="O3" s="380"/>
      <c r="P3" s="380"/>
      <c r="Q3" s="380"/>
      <c r="R3" s="380"/>
      <c r="S3" s="380"/>
      <c r="T3" s="380"/>
      <c r="U3" s="380"/>
      <c r="V3" s="380"/>
      <c r="W3" s="380"/>
      <c r="X3" s="380"/>
      <c r="Y3" s="380"/>
      <c r="Z3" s="380"/>
      <c r="AA3" s="380"/>
      <c r="AB3" s="380"/>
      <c r="AC3" s="380"/>
      <c r="AD3" s="380"/>
      <c r="AE3" s="380"/>
      <c r="AF3" s="380"/>
      <c r="AG3" s="380"/>
      <c r="AH3" s="380"/>
      <c r="AI3" s="380"/>
      <c r="AJ3" s="380"/>
      <c r="AK3" s="380"/>
      <c r="AL3" s="380"/>
      <c r="AM3" s="380"/>
      <c r="AN3" s="380"/>
      <c r="AO3" s="380"/>
      <c r="AP3" s="380"/>
      <c r="AQ3" s="380"/>
      <c r="AR3" s="380"/>
    </row>
    <row r="4" spans="1:44" x14ac:dyDescent="0.2">
      <c r="A4" s="33" t="str">
        <f>Summary!A4</f>
        <v>All $ values 2023, unless otherwise noted</v>
      </c>
      <c r="B4" s="380"/>
      <c r="C4" s="7"/>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c r="AM4" s="380"/>
      <c r="AN4" s="380"/>
      <c r="AO4" s="380"/>
      <c r="AP4" s="380"/>
      <c r="AQ4" s="380"/>
      <c r="AR4" s="380"/>
    </row>
    <row r="5" spans="1:44" x14ac:dyDescent="0.2">
      <c r="A5" s="380"/>
      <c r="B5" s="382"/>
      <c r="C5" s="7"/>
      <c r="D5" s="380"/>
      <c r="E5" s="380"/>
      <c r="F5" s="380"/>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0"/>
      <c r="AO5" s="380"/>
      <c r="AP5" s="380"/>
      <c r="AQ5" s="380"/>
      <c r="AR5" s="380"/>
    </row>
    <row r="6" spans="1:44" x14ac:dyDescent="0.2">
      <c r="A6" s="380"/>
      <c r="B6" s="380"/>
      <c r="C6" s="380" t="s">
        <v>48</v>
      </c>
      <c r="D6" s="380" t="s">
        <v>49</v>
      </c>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row>
    <row r="7" spans="1:44" s="4" customFormat="1" x14ac:dyDescent="0.2">
      <c r="A7" s="450" t="s">
        <v>235</v>
      </c>
      <c r="B7" s="450"/>
      <c r="C7" s="8" t="s">
        <v>235</v>
      </c>
      <c r="D7" s="450"/>
      <c r="E7" s="450"/>
      <c r="F7" s="450">
        <f>Inputs!$E$12</f>
        <v>2018</v>
      </c>
      <c r="G7" s="450">
        <f>F7+1</f>
        <v>2019</v>
      </c>
      <c r="H7" s="450">
        <f t="shared" ref="H7:W8" si="0">G7+1</f>
        <v>2020</v>
      </c>
      <c r="I7" s="450">
        <f t="shared" si="0"/>
        <v>2021</v>
      </c>
      <c r="J7" s="450">
        <f t="shared" si="0"/>
        <v>2022</v>
      </c>
      <c r="K7" s="450">
        <f t="shared" si="0"/>
        <v>2023</v>
      </c>
      <c r="L7" s="450">
        <f t="shared" si="0"/>
        <v>2024</v>
      </c>
      <c r="M7" s="450">
        <f t="shared" si="0"/>
        <v>2025</v>
      </c>
      <c r="N7" s="450">
        <f t="shared" si="0"/>
        <v>2026</v>
      </c>
      <c r="O7" s="450">
        <f t="shared" si="0"/>
        <v>2027</v>
      </c>
      <c r="P7" s="450">
        <f t="shared" si="0"/>
        <v>2028</v>
      </c>
      <c r="Q7" s="450">
        <f t="shared" si="0"/>
        <v>2029</v>
      </c>
      <c r="R7" s="450">
        <f t="shared" si="0"/>
        <v>2030</v>
      </c>
      <c r="S7" s="450">
        <f t="shared" si="0"/>
        <v>2031</v>
      </c>
      <c r="T7" s="450">
        <f t="shared" si="0"/>
        <v>2032</v>
      </c>
      <c r="U7" s="450">
        <f t="shared" si="0"/>
        <v>2033</v>
      </c>
      <c r="V7" s="450">
        <f t="shared" si="0"/>
        <v>2034</v>
      </c>
      <c r="W7" s="450">
        <f t="shared" si="0"/>
        <v>2035</v>
      </c>
      <c r="X7" s="450">
        <f t="shared" ref="X7:AM8" si="1">W7+1</f>
        <v>2036</v>
      </c>
      <c r="Y7" s="450">
        <f t="shared" si="1"/>
        <v>2037</v>
      </c>
      <c r="Z7" s="450">
        <f t="shared" si="1"/>
        <v>2038</v>
      </c>
      <c r="AA7" s="450">
        <f t="shared" si="1"/>
        <v>2039</v>
      </c>
      <c r="AB7" s="450">
        <f t="shared" si="1"/>
        <v>2040</v>
      </c>
      <c r="AC7" s="450">
        <f t="shared" si="1"/>
        <v>2041</v>
      </c>
      <c r="AD7" s="450">
        <f t="shared" si="1"/>
        <v>2042</v>
      </c>
      <c r="AE7" s="450">
        <f t="shared" si="1"/>
        <v>2043</v>
      </c>
      <c r="AF7" s="450">
        <f t="shared" si="1"/>
        <v>2044</v>
      </c>
      <c r="AG7" s="450">
        <f t="shared" si="1"/>
        <v>2045</v>
      </c>
      <c r="AH7" s="450">
        <f t="shared" si="1"/>
        <v>2046</v>
      </c>
      <c r="AI7" s="450">
        <f t="shared" si="1"/>
        <v>2047</v>
      </c>
      <c r="AJ7" s="450">
        <f t="shared" si="1"/>
        <v>2048</v>
      </c>
      <c r="AK7" s="450">
        <f t="shared" si="1"/>
        <v>2049</v>
      </c>
      <c r="AL7" s="450">
        <f t="shared" si="1"/>
        <v>2050</v>
      </c>
      <c r="AM7" s="450">
        <f t="shared" si="1"/>
        <v>2051</v>
      </c>
      <c r="AN7" s="450">
        <f t="shared" ref="AN7:AR8" si="2">AM7+1</f>
        <v>2052</v>
      </c>
      <c r="AO7" s="450">
        <f t="shared" si="2"/>
        <v>2053</v>
      </c>
      <c r="AP7" s="450">
        <f t="shared" si="2"/>
        <v>2054</v>
      </c>
      <c r="AQ7" s="450">
        <f t="shared" si="2"/>
        <v>2055</v>
      </c>
      <c r="AR7" s="450">
        <f t="shared" si="2"/>
        <v>2056</v>
      </c>
    </row>
    <row r="8" spans="1:44" x14ac:dyDescent="0.2">
      <c r="A8" s="380"/>
      <c r="B8" s="380" t="s">
        <v>236</v>
      </c>
      <c r="C8" s="7" t="s">
        <v>54</v>
      </c>
      <c r="D8" s="380"/>
      <c r="E8" s="380"/>
      <c r="F8" s="380">
        <f>D8+1</f>
        <v>1</v>
      </c>
      <c r="G8" s="380">
        <f t="shared" ref="G8" si="3">F8+1</f>
        <v>2</v>
      </c>
      <c r="H8" s="380">
        <f t="shared" si="0"/>
        <v>3</v>
      </c>
      <c r="I8" s="380">
        <f t="shared" si="0"/>
        <v>4</v>
      </c>
      <c r="J8" s="380">
        <f t="shared" si="0"/>
        <v>5</v>
      </c>
      <c r="K8" s="380">
        <f t="shared" si="0"/>
        <v>6</v>
      </c>
      <c r="L8" s="380">
        <f t="shared" si="0"/>
        <v>7</v>
      </c>
      <c r="M8" s="380">
        <f t="shared" si="0"/>
        <v>8</v>
      </c>
      <c r="N8" s="380">
        <f t="shared" si="0"/>
        <v>9</v>
      </c>
      <c r="O8" s="380">
        <f t="shared" si="0"/>
        <v>10</v>
      </c>
      <c r="P8" s="380">
        <f t="shared" si="0"/>
        <v>11</v>
      </c>
      <c r="Q8" s="380">
        <f t="shared" si="0"/>
        <v>12</v>
      </c>
      <c r="R8" s="380">
        <f t="shared" si="0"/>
        <v>13</v>
      </c>
      <c r="S8" s="380">
        <f t="shared" si="0"/>
        <v>14</v>
      </c>
      <c r="T8" s="380">
        <f t="shared" si="0"/>
        <v>15</v>
      </c>
      <c r="U8" s="380">
        <f t="shared" si="0"/>
        <v>16</v>
      </c>
      <c r="V8" s="380">
        <f t="shared" si="0"/>
        <v>17</v>
      </c>
      <c r="W8" s="380">
        <f t="shared" si="0"/>
        <v>18</v>
      </c>
      <c r="X8" s="380">
        <f t="shared" si="1"/>
        <v>19</v>
      </c>
      <c r="Y8" s="380">
        <f t="shared" si="1"/>
        <v>20</v>
      </c>
      <c r="Z8" s="380">
        <f t="shared" si="1"/>
        <v>21</v>
      </c>
      <c r="AA8" s="380">
        <f t="shared" si="1"/>
        <v>22</v>
      </c>
      <c r="AB8" s="380">
        <f t="shared" si="1"/>
        <v>23</v>
      </c>
      <c r="AC8" s="380">
        <f t="shared" si="1"/>
        <v>24</v>
      </c>
      <c r="AD8" s="380">
        <f t="shared" si="1"/>
        <v>25</v>
      </c>
      <c r="AE8" s="380">
        <f t="shared" si="1"/>
        <v>26</v>
      </c>
      <c r="AF8" s="380">
        <f t="shared" si="1"/>
        <v>27</v>
      </c>
      <c r="AG8" s="380">
        <f t="shared" si="1"/>
        <v>28</v>
      </c>
      <c r="AH8" s="380">
        <f t="shared" si="1"/>
        <v>29</v>
      </c>
      <c r="AI8" s="380">
        <f t="shared" si="1"/>
        <v>30</v>
      </c>
      <c r="AJ8" s="380">
        <f t="shared" si="1"/>
        <v>31</v>
      </c>
      <c r="AK8" s="380">
        <f t="shared" si="1"/>
        <v>32</v>
      </c>
      <c r="AL8" s="380">
        <f t="shared" si="1"/>
        <v>33</v>
      </c>
      <c r="AM8" s="380">
        <f t="shared" si="1"/>
        <v>34</v>
      </c>
      <c r="AN8" s="380">
        <f t="shared" si="2"/>
        <v>35</v>
      </c>
      <c r="AO8" s="380">
        <f t="shared" si="2"/>
        <v>36</v>
      </c>
      <c r="AP8" s="380">
        <f t="shared" si="2"/>
        <v>37</v>
      </c>
      <c r="AQ8" s="380">
        <f t="shared" si="2"/>
        <v>38</v>
      </c>
      <c r="AR8" s="380">
        <f t="shared" si="2"/>
        <v>39</v>
      </c>
    </row>
    <row r="9" spans="1:44" x14ac:dyDescent="0.2">
      <c r="A9" s="380"/>
      <c r="B9" s="380" t="s">
        <v>237</v>
      </c>
      <c r="C9" s="7" t="s">
        <v>238</v>
      </c>
      <c r="D9" s="380"/>
      <c r="E9" s="380"/>
      <c r="F9" s="380">
        <f>IF(F7=Inputs!$E$13,1,0)</f>
        <v>0</v>
      </c>
      <c r="G9" s="380">
        <f>IF(G7=Inputs!$E$13,1,0)</f>
        <v>0</v>
      </c>
      <c r="H9" s="380">
        <f>IF(H7=Inputs!$E$13,1,0)</f>
        <v>0</v>
      </c>
      <c r="I9" s="380">
        <f>IF(I7=Inputs!$E$13,1,0)</f>
        <v>0</v>
      </c>
      <c r="J9" s="380">
        <f>IF(J7=Inputs!$E$13,1,0)</f>
        <v>0</v>
      </c>
      <c r="K9" s="380">
        <f>IF(K7=Inputs!$E$13,1,0)</f>
        <v>1</v>
      </c>
      <c r="L9" s="380">
        <f>IF(L7=Inputs!$E$13,1,0)</f>
        <v>0</v>
      </c>
      <c r="M9" s="380">
        <f>IF(M7=Inputs!$E$13,1,0)</f>
        <v>0</v>
      </c>
      <c r="N9" s="380">
        <f>IF(N7=Inputs!$E$13,1,0)</f>
        <v>0</v>
      </c>
      <c r="O9" s="380">
        <f>IF(O7=Inputs!$E$13,1,0)</f>
        <v>0</v>
      </c>
      <c r="P9" s="380">
        <f>IF(P7=Inputs!$E$13,1,0)</f>
        <v>0</v>
      </c>
      <c r="Q9" s="380">
        <f>IF(Q7=Inputs!$E$13,1,0)</f>
        <v>0</v>
      </c>
      <c r="R9" s="380">
        <f>IF(R7=Inputs!$E$13,1,0)</f>
        <v>0</v>
      </c>
      <c r="S9" s="380">
        <f>IF(S7=Inputs!$E$13,1,0)</f>
        <v>0</v>
      </c>
      <c r="T9" s="380">
        <f>IF(T7=Inputs!$E$13,1,0)</f>
        <v>0</v>
      </c>
      <c r="U9" s="380">
        <f>IF(U7=Inputs!$E$13,1,0)</f>
        <v>0</v>
      </c>
      <c r="V9" s="380">
        <f>IF(V7=Inputs!$E$13,1,0)</f>
        <v>0</v>
      </c>
      <c r="W9" s="380">
        <f>IF(W7=Inputs!$E$13,1,0)</f>
        <v>0</v>
      </c>
      <c r="X9" s="380">
        <f>IF(X7=Inputs!$E$13,1,0)</f>
        <v>0</v>
      </c>
      <c r="Y9" s="380">
        <f>IF(Y7=Inputs!$E$13,1,0)</f>
        <v>0</v>
      </c>
      <c r="Z9" s="380">
        <f>IF(Z7=Inputs!$E$13,1,0)</f>
        <v>0</v>
      </c>
      <c r="AA9" s="380">
        <f>IF(AA7=Inputs!$E$13,1,0)</f>
        <v>0</v>
      </c>
      <c r="AB9" s="380">
        <f>IF(AB7=Inputs!$E$13,1,0)</f>
        <v>0</v>
      </c>
      <c r="AC9" s="380">
        <f>IF(AC7=Inputs!$E$13,1,0)</f>
        <v>0</v>
      </c>
      <c r="AD9" s="380">
        <f>IF(AD7=Inputs!$E$13,1,0)</f>
        <v>0</v>
      </c>
      <c r="AE9" s="380">
        <f>IF(AE7=Inputs!$E$13,1,0)</f>
        <v>0</v>
      </c>
      <c r="AF9" s="380">
        <f>IF(AF7=Inputs!$E$13,1,0)</f>
        <v>0</v>
      </c>
      <c r="AG9" s="380">
        <f>IF(AG7=Inputs!$E$13,1,0)</f>
        <v>0</v>
      </c>
      <c r="AH9" s="380">
        <f>IF(AH7=Inputs!$E$13,1,0)</f>
        <v>0</v>
      </c>
      <c r="AI9" s="380">
        <f>IF(AI7=Inputs!$E$13,1,0)</f>
        <v>0</v>
      </c>
      <c r="AJ9" s="380">
        <f>IF(AJ7=Inputs!$E$13,1,0)</f>
        <v>0</v>
      </c>
      <c r="AK9" s="380">
        <f>IF(AK7=Inputs!$E$13,1,0)</f>
        <v>0</v>
      </c>
      <c r="AL9" s="380">
        <f>IF(AL7=Inputs!$E$13,1,0)</f>
        <v>0</v>
      </c>
      <c r="AM9" s="380">
        <f>IF(AM7=Inputs!$E$13,1,0)</f>
        <v>0</v>
      </c>
      <c r="AN9" s="380">
        <f>IF(AN7=Inputs!$E$13,1,0)</f>
        <v>0</v>
      </c>
      <c r="AO9" s="380">
        <f>IF(AO7=Inputs!$E$13,1,0)</f>
        <v>0</v>
      </c>
      <c r="AP9" s="380">
        <f>IF(AP7=Inputs!$E$13,1,0)</f>
        <v>0</v>
      </c>
      <c r="AQ9" s="380">
        <f>IF(AQ7=Inputs!$E$13,1,0)</f>
        <v>0</v>
      </c>
      <c r="AR9" s="380">
        <f>IF(AR7=Inputs!$E$13,1,0)</f>
        <v>0</v>
      </c>
    </row>
    <row r="10" spans="1:44" x14ac:dyDescent="0.2">
      <c r="A10" s="380"/>
      <c r="B10" s="380" t="s">
        <v>239</v>
      </c>
      <c r="C10" s="7" t="s">
        <v>61</v>
      </c>
      <c r="D10" s="380"/>
      <c r="E10" s="380"/>
      <c r="F10" s="428">
        <f>F7-Inputs!$E$13</f>
        <v>-5</v>
      </c>
      <c r="G10" s="428">
        <f>G7-Inputs!$E$13</f>
        <v>-4</v>
      </c>
      <c r="H10" s="428">
        <f>H7-Inputs!$E$13</f>
        <v>-3</v>
      </c>
      <c r="I10" s="428">
        <f>I7-Inputs!$E$13</f>
        <v>-2</v>
      </c>
      <c r="J10" s="428">
        <f>J7-Inputs!$E$13</f>
        <v>-1</v>
      </c>
      <c r="K10" s="428">
        <f>K7-Inputs!$E$13</f>
        <v>0</v>
      </c>
      <c r="L10" s="428">
        <f>L7-Inputs!$E$13</f>
        <v>1</v>
      </c>
      <c r="M10" s="428">
        <f>M7-Inputs!$E$13</f>
        <v>2</v>
      </c>
      <c r="N10" s="428">
        <f>N7-Inputs!$E$13</f>
        <v>3</v>
      </c>
      <c r="O10" s="428">
        <f>O7-Inputs!$E$13</f>
        <v>4</v>
      </c>
      <c r="P10" s="428">
        <f>P7-Inputs!$E$13</f>
        <v>5</v>
      </c>
      <c r="Q10" s="428">
        <f>Q7-Inputs!$E$13</f>
        <v>6</v>
      </c>
      <c r="R10" s="428">
        <f>R7-Inputs!$E$13</f>
        <v>7</v>
      </c>
      <c r="S10" s="428">
        <f>S7-Inputs!$E$13</f>
        <v>8</v>
      </c>
      <c r="T10" s="428">
        <f>T7-Inputs!$E$13</f>
        <v>9</v>
      </c>
      <c r="U10" s="428">
        <f>U7-Inputs!$E$13</f>
        <v>10</v>
      </c>
      <c r="V10" s="428">
        <f>V7-Inputs!$E$13</f>
        <v>11</v>
      </c>
      <c r="W10" s="428">
        <f>W7-Inputs!$E$13</f>
        <v>12</v>
      </c>
      <c r="X10" s="428">
        <f>X7-Inputs!$E$13</f>
        <v>13</v>
      </c>
      <c r="Y10" s="428">
        <f>Y7-Inputs!$E$13</f>
        <v>14</v>
      </c>
      <c r="Z10" s="428">
        <f>Z7-Inputs!$E$13</f>
        <v>15</v>
      </c>
      <c r="AA10" s="428">
        <f>AA7-Inputs!$E$13</f>
        <v>16</v>
      </c>
      <c r="AB10" s="428">
        <f>AB7-Inputs!$E$13</f>
        <v>17</v>
      </c>
      <c r="AC10" s="428">
        <f>AC7-Inputs!$E$13</f>
        <v>18</v>
      </c>
      <c r="AD10" s="428">
        <f>AD7-Inputs!$E$13</f>
        <v>19</v>
      </c>
      <c r="AE10" s="428">
        <f>AE7-Inputs!$E$13</f>
        <v>20</v>
      </c>
      <c r="AF10" s="428">
        <f>AF7-Inputs!$E$13</f>
        <v>21</v>
      </c>
      <c r="AG10" s="428">
        <f>AG7-Inputs!$E$13</f>
        <v>22</v>
      </c>
      <c r="AH10" s="428">
        <f>AH7-Inputs!$E$13</f>
        <v>23</v>
      </c>
      <c r="AI10" s="428">
        <f>AI7-Inputs!$E$13</f>
        <v>24</v>
      </c>
      <c r="AJ10" s="428">
        <f>AJ7-Inputs!$E$13</f>
        <v>25</v>
      </c>
      <c r="AK10" s="428">
        <f>AK7-Inputs!$E$13</f>
        <v>26</v>
      </c>
      <c r="AL10" s="428">
        <f>AL7-Inputs!$E$13</f>
        <v>27</v>
      </c>
      <c r="AM10" s="428">
        <f>AM7-Inputs!$E$13</f>
        <v>28</v>
      </c>
      <c r="AN10" s="428">
        <f>AN7-Inputs!$E$13</f>
        <v>29</v>
      </c>
      <c r="AO10" s="428">
        <f>AO7-Inputs!$E$13</f>
        <v>30</v>
      </c>
      <c r="AP10" s="428">
        <f>AP7-Inputs!$E$13</f>
        <v>31</v>
      </c>
      <c r="AQ10" s="428">
        <f>AQ7-Inputs!$E$13</f>
        <v>32</v>
      </c>
      <c r="AR10" s="428">
        <f>AR7-Inputs!$E$13</f>
        <v>33</v>
      </c>
    </row>
    <row r="11" spans="1:44" x14ac:dyDescent="0.2">
      <c r="A11" s="380"/>
      <c r="B11" s="380" t="s">
        <v>240</v>
      </c>
      <c r="C11" s="7" t="s">
        <v>238</v>
      </c>
      <c r="D11" s="380"/>
      <c r="E11" s="380"/>
      <c r="F11" s="380">
        <f>IF(AND(F7&gt;=Inputs!$E$17,F7&lt;Inputs!$E$26),1,0)</f>
        <v>0</v>
      </c>
      <c r="G11" s="380">
        <f>IF(AND(G7&gt;=Inputs!$E$17,G7&lt;Inputs!$E$26),1,0)</f>
        <v>0</v>
      </c>
      <c r="H11" s="380">
        <f>IF(AND(H7&gt;=Inputs!$E$17,H7&lt;Inputs!$E$26),1,0)</f>
        <v>0</v>
      </c>
      <c r="I11" s="380">
        <f>IF(AND(I7&gt;=Inputs!$E$17,I7&lt;Inputs!$E$26),1,0)</f>
        <v>0</v>
      </c>
      <c r="J11" s="380">
        <f>IF(AND(J7&gt;=Inputs!$E$17,J7&lt;Inputs!$E$26),1,0)</f>
        <v>0</v>
      </c>
      <c r="K11" s="380">
        <f>IF(AND(K7&gt;=Inputs!$E$17,K7&lt;Inputs!$E$26),1,0)</f>
        <v>0</v>
      </c>
      <c r="L11" s="380">
        <f>IF(AND(L7&gt;=Inputs!$E$17,L7&lt;Inputs!$E$26),1,0)</f>
        <v>0</v>
      </c>
      <c r="M11" s="380">
        <f>IF(AND(M7&gt;=Inputs!$E$17,M7&lt;Inputs!$E$26),1,0)</f>
        <v>0</v>
      </c>
      <c r="N11" s="380">
        <f>IF(AND(N7&gt;=Inputs!$E$17,N7&lt;Inputs!$E$26),1,0)</f>
        <v>0</v>
      </c>
      <c r="O11" s="380">
        <f>IF(AND(O7&gt;=Inputs!$E$17,O7&lt;Inputs!$E$26),1,0)</f>
        <v>1</v>
      </c>
      <c r="P11" s="380">
        <f>IF(AND(P7&gt;=Inputs!$E$17,P7&lt;Inputs!$E$26),1,0)</f>
        <v>1</v>
      </c>
      <c r="Q11" s="380">
        <f>IF(AND(Q7&gt;=Inputs!$E$17,Q7&lt;Inputs!$E$26),1,0)</f>
        <v>1</v>
      </c>
      <c r="R11" s="380">
        <f>IF(AND(R7&gt;=Inputs!$E$17,R7&lt;Inputs!$E$26),1,0)</f>
        <v>1</v>
      </c>
      <c r="S11" s="380">
        <f>IF(AND(S7&gt;=Inputs!$E$17,S7&lt;Inputs!$E$26),1,0)</f>
        <v>1</v>
      </c>
      <c r="T11" s="380">
        <f>IF(AND(T7&gt;=Inputs!$E$17,T7&lt;Inputs!$E$26),1,0)</f>
        <v>1</v>
      </c>
      <c r="U11" s="380">
        <f>IF(AND(U7&gt;=Inputs!$E$17,U7&lt;Inputs!$E$26),1,0)</f>
        <v>1</v>
      </c>
      <c r="V11" s="380">
        <f>IF(AND(V7&gt;=Inputs!$E$17,V7&lt;Inputs!$E$26),1,0)</f>
        <v>1</v>
      </c>
      <c r="W11" s="380">
        <f>IF(AND(W7&gt;=Inputs!$E$17,W7&lt;Inputs!$E$26),1,0)</f>
        <v>1</v>
      </c>
      <c r="X11" s="380">
        <f>IF(AND(X7&gt;=Inputs!$E$17,X7&lt;Inputs!$E$26),1,0)</f>
        <v>1</v>
      </c>
      <c r="Y11" s="380">
        <f>IF(AND(Y7&gt;=Inputs!$E$17,Y7&lt;Inputs!$E$26),1,0)</f>
        <v>1</v>
      </c>
      <c r="Z11" s="380">
        <f>IF(AND(Z7&gt;=Inputs!$E$17,Z7&lt;Inputs!$E$26),1,0)</f>
        <v>1</v>
      </c>
      <c r="AA11" s="380">
        <f>IF(AND(AA7&gt;=Inputs!$E$17,AA7&lt;Inputs!$E$26),1,0)</f>
        <v>1</v>
      </c>
      <c r="AB11" s="380">
        <f>IF(AND(AB7&gt;=Inputs!$E$17,AB7&lt;Inputs!$E$26),1,0)</f>
        <v>1</v>
      </c>
      <c r="AC11" s="380">
        <f>IF(AND(AC7&gt;=Inputs!$E$17,AC7&lt;Inputs!$E$26),1,0)</f>
        <v>1</v>
      </c>
      <c r="AD11" s="380">
        <f>IF(AND(AD7&gt;=Inputs!$E$17,AD7&lt;Inputs!$E$26),1,0)</f>
        <v>1</v>
      </c>
      <c r="AE11" s="380">
        <f>IF(AND(AE7&gt;=Inputs!$E$17,AE7&lt;Inputs!$E$26),1,0)</f>
        <v>1</v>
      </c>
      <c r="AF11" s="380">
        <f>IF(AND(AF7&gt;=Inputs!$E$17,AF7&lt;Inputs!$E$26),1,0)</f>
        <v>1</v>
      </c>
      <c r="AG11" s="380">
        <f>IF(AND(AG7&gt;=Inputs!$E$17,AG7&lt;Inputs!$E$26),1,0)</f>
        <v>1</v>
      </c>
      <c r="AH11" s="380">
        <f>IF(AND(AH7&gt;=Inputs!$E$17,AH7&lt;Inputs!$E$26),1,0)</f>
        <v>1</v>
      </c>
      <c r="AI11" s="380">
        <f>IF(AND(AI7&gt;=Inputs!$E$17,AI7&lt;Inputs!$E$26),1,0)</f>
        <v>0</v>
      </c>
      <c r="AJ11" s="380">
        <f>IF(AND(AJ7&gt;=Inputs!$E$17,AJ7&lt;Inputs!$E$26),1,0)</f>
        <v>0</v>
      </c>
      <c r="AK11" s="380">
        <f>IF(AND(AK7&gt;=Inputs!$E$17,AK7&lt;Inputs!$E$26),1,0)</f>
        <v>0</v>
      </c>
      <c r="AL11" s="380">
        <f>IF(AND(AL7&gt;=Inputs!$E$17,AL7&lt;Inputs!$E$26),1,0)</f>
        <v>0</v>
      </c>
      <c r="AM11" s="380">
        <f>IF(AND(AM7&gt;=Inputs!$E$17,AM7&lt;Inputs!$E$26),1,0)</f>
        <v>0</v>
      </c>
      <c r="AN11" s="380">
        <f>IF(AND(AN7&gt;=Inputs!$E$17,AN7&lt;Inputs!$E$26),1,0)</f>
        <v>0</v>
      </c>
      <c r="AO11" s="380">
        <f>IF(AND(AO7&gt;=Inputs!$E$17,AO7&lt;Inputs!$E$26),1,0)</f>
        <v>0</v>
      </c>
      <c r="AP11" s="380">
        <f>IF(AND(AP7&gt;=Inputs!$E$17,AP7&lt;Inputs!$E$26),1,0)</f>
        <v>0</v>
      </c>
      <c r="AQ11" s="380">
        <f>IF(AND(AQ7&gt;=Inputs!$E$17,AQ7&lt;Inputs!$E$26),1,0)</f>
        <v>0</v>
      </c>
      <c r="AR11" s="380">
        <f>IF(AND(AR7&gt;=Inputs!$E$17,AR7&lt;Inputs!$E$26),1,0)</f>
        <v>0</v>
      </c>
    </row>
    <row r="12" spans="1:44" ht="15" x14ac:dyDescent="0.25">
      <c r="A12" s="2" t="s">
        <v>241</v>
      </c>
      <c r="B12" s="380"/>
      <c r="C12" s="7"/>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0"/>
      <c r="AI12" s="380"/>
      <c r="AJ12" s="380"/>
      <c r="AK12" s="380"/>
      <c r="AL12" s="380"/>
      <c r="AM12" s="380"/>
      <c r="AN12" s="380"/>
      <c r="AO12" s="380"/>
      <c r="AP12" s="380"/>
      <c r="AQ12" s="380"/>
      <c r="AR12" s="380"/>
    </row>
    <row r="13" spans="1:44" x14ac:dyDescent="0.2">
      <c r="A13" s="380"/>
      <c r="B13" s="380" t="s">
        <v>242</v>
      </c>
      <c r="C13" s="7" t="s">
        <v>54</v>
      </c>
      <c r="D13" s="380"/>
      <c r="E13" s="380"/>
      <c r="F13" s="380">
        <f>(F11+D13)*F11</f>
        <v>0</v>
      </c>
      <c r="G13" s="380">
        <f t="shared" ref="G13:AG13" si="4">(G11+F13)*G11</f>
        <v>0</v>
      </c>
      <c r="H13" s="380">
        <f t="shared" si="4"/>
        <v>0</v>
      </c>
      <c r="I13" s="380">
        <f t="shared" si="4"/>
        <v>0</v>
      </c>
      <c r="J13" s="380">
        <f t="shared" si="4"/>
        <v>0</v>
      </c>
      <c r="K13" s="380">
        <f t="shared" si="4"/>
        <v>0</v>
      </c>
      <c r="L13" s="380">
        <f t="shared" si="4"/>
        <v>0</v>
      </c>
      <c r="M13" s="380">
        <f t="shared" si="4"/>
        <v>0</v>
      </c>
      <c r="N13" s="380">
        <f t="shared" si="4"/>
        <v>0</v>
      </c>
      <c r="O13" s="380">
        <f t="shared" si="4"/>
        <v>1</v>
      </c>
      <c r="P13" s="380">
        <f t="shared" si="4"/>
        <v>2</v>
      </c>
      <c r="Q13" s="380">
        <f t="shared" si="4"/>
        <v>3</v>
      </c>
      <c r="R13" s="380">
        <f t="shared" si="4"/>
        <v>4</v>
      </c>
      <c r="S13" s="380">
        <f t="shared" si="4"/>
        <v>5</v>
      </c>
      <c r="T13" s="380">
        <f t="shared" si="4"/>
        <v>6</v>
      </c>
      <c r="U13" s="380">
        <f t="shared" si="4"/>
        <v>7</v>
      </c>
      <c r="V13" s="380">
        <f t="shared" si="4"/>
        <v>8</v>
      </c>
      <c r="W13" s="380">
        <f t="shared" si="4"/>
        <v>9</v>
      </c>
      <c r="X13" s="380">
        <f t="shared" si="4"/>
        <v>10</v>
      </c>
      <c r="Y13" s="380">
        <f t="shared" si="4"/>
        <v>11</v>
      </c>
      <c r="Z13" s="380">
        <f t="shared" si="4"/>
        <v>12</v>
      </c>
      <c r="AA13" s="380">
        <f t="shared" si="4"/>
        <v>13</v>
      </c>
      <c r="AB13" s="380">
        <f t="shared" si="4"/>
        <v>14</v>
      </c>
      <c r="AC13" s="380">
        <f t="shared" si="4"/>
        <v>15</v>
      </c>
      <c r="AD13" s="380">
        <f t="shared" si="4"/>
        <v>16</v>
      </c>
      <c r="AE13" s="380">
        <f t="shared" si="4"/>
        <v>17</v>
      </c>
      <c r="AF13" s="380">
        <f t="shared" si="4"/>
        <v>18</v>
      </c>
      <c r="AG13" s="380">
        <f t="shared" si="4"/>
        <v>19</v>
      </c>
      <c r="AH13" s="380">
        <f>(AH11+AG13)*AH11</f>
        <v>20</v>
      </c>
      <c r="AI13" s="380">
        <f t="shared" ref="AI13:AR13" si="5">(AI11+AH13)*AI11</f>
        <v>0</v>
      </c>
      <c r="AJ13" s="380">
        <f t="shared" si="5"/>
        <v>0</v>
      </c>
      <c r="AK13" s="380">
        <f t="shared" si="5"/>
        <v>0</v>
      </c>
      <c r="AL13" s="380">
        <f t="shared" si="5"/>
        <v>0</v>
      </c>
      <c r="AM13" s="380">
        <f t="shared" si="5"/>
        <v>0</v>
      </c>
      <c r="AN13" s="380">
        <f t="shared" si="5"/>
        <v>0</v>
      </c>
      <c r="AO13" s="380">
        <f t="shared" si="5"/>
        <v>0</v>
      </c>
      <c r="AP13" s="380">
        <f t="shared" si="5"/>
        <v>0</v>
      </c>
      <c r="AQ13" s="380">
        <f t="shared" si="5"/>
        <v>0</v>
      </c>
      <c r="AR13" s="380">
        <f t="shared" si="5"/>
        <v>0</v>
      </c>
    </row>
    <row r="14" spans="1:44" ht="15" x14ac:dyDescent="0.25">
      <c r="A14" s="2" t="s">
        <v>9</v>
      </c>
      <c r="B14" s="380"/>
      <c r="C14" s="7"/>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c r="AB14" s="380"/>
      <c r="AC14" s="380"/>
      <c r="AD14" s="380"/>
      <c r="AE14" s="380"/>
      <c r="AF14" s="380"/>
      <c r="AG14" s="380"/>
      <c r="AH14" s="380"/>
      <c r="AI14" s="380"/>
      <c r="AJ14" s="380"/>
      <c r="AK14" s="380"/>
      <c r="AL14" s="380"/>
      <c r="AM14" s="380"/>
      <c r="AN14" s="380"/>
      <c r="AO14" s="380"/>
      <c r="AP14" s="380"/>
      <c r="AQ14" s="380"/>
      <c r="AR14" s="380"/>
    </row>
    <row r="15" spans="1:44" x14ac:dyDescent="0.2">
      <c r="A15" s="380"/>
      <c r="B15" s="380" t="s">
        <v>75</v>
      </c>
      <c r="C15" s="7" t="s">
        <v>54</v>
      </c>
      <c r="D15" s="445">
        <f>Inputs!E29</f>
        <v>0</v>
      </c>
      <c r="E15" s="445"/>
      <c r="F15" s="446">
        <f t="shared" ref="F15:L15" si="6">1/(1+$D15)^(F$10)</f>
        <v>1</v>
      </c>
      <c r="G15" s="446">
        <f t="shared" si="6"/>
        <v>1</v>
      </c>
      <c r="H15" s="446">
        <f t="shared" si="6"/>
        <v>1</v>
      </c>
      <c r="I15" s="446">
        <f t="shared" si="6"/>
        <v>1</v>
      </c>
      <c r="J15" s="446">
        <f t="shared" si="6"/>
        <v>1</v>
      </c>
      <c r="K15" s="446">
        <f t="shared" si="6"/>
        <v>1</v>
      </c>
      <c r="L15" s="446">
        <f t="shared" si="6"/>
        <v>1</v>
      </c>
      <c r="M15" s="446">
        <f>1/(1+$D15)^(M$10)</f>
        <v>1</v>
      </c>
      <c r="N15" s="446">
        <f t="shared" ref="N15:AR15" si="7">1/(1+$D15)^(N$10)</f>
        <v>1</v>
      </c>
      <c r="O15" s="446">
        <f t="shared" si="7"/>
        <v>1</v>
      </c>
      <c r="P15" s="446">
        <f t="shared" si="7"/>
        <v>1</v>
      </c>
      <c r="Q15" s="446">
        <f t="shared" si="7"/>
        <v>1</v>
      </c>
      <c r="R15" s="446">
        <f t="shared" si="7"/>
        <v>1</v>
      </c>
      <c r="S15" s="446">
        <f t="shared" si="7"/>
        <v>1</v>
      </c>
      <c r="T15" s="446">
        <f t="shared" si="7"/>
        <v>1</v>
      </c>
      <c r="U15" s="446">
        <f t="shared" si="7"/>
        <v>1</v>
      </c>
      <c r="V15" s="446">
        <f t="shared" si="7"/>
        <v>1</v>
      </c>
      <c r="W15" s="446">
        <f t="shared" si="7"/>
        <v>1</v>
      </c>
      <c r="X15" s="446">
        <f t="shared" si="7"/>
        <v>1</v>
      </c>
      <c r="Y15" s="446">
        <f t="shared" si="7"/>
        <v>1</v>
      </c>
      <c r="Z15" s="446">
        <f t="shared" si="7"/>
        <v>1</v>
      </c>
      <c r="AA15" s="446">
        <f t="shared" si="7"/>
        <v>1</v>
      </c>
      <c r="AB15" s="446">
        <f t="shared" si="7"/>
        <v>1</v>
      </c>
      <c r="AC15" s="446">
        <f t="shared" si="7"/>
        <v>1</v>
      </c>
      <c r="AD15" s="446">
        <f t="shared" si="7"/>
        <v>1</v>
      </c>
      <c r="AE15" s="446">
        <f t="shared" si="7"/>
        <v>1</v>
      </c>
      <c r="AF15" s="446">
        <f t="shared" si="7"/>
        <v>1</v>
      </c>
      <c r="AG15" s="446">
        <f t="shared" si="7"/>
        <v>1</v>
      </c>
      <c r="AH15" s="446">
        <f t="shared" si="7"/>
        <v>1</v>
      </c>
      <c r="AI15" s="446">
        <f t="shared" si="7"/>
        <v>1</v>
      </c>
      <c r="AJ15" s="446">
        <f t="shared" si="7"/>
        <v>1</v>
      </c>
      <c r="AK15" s="446">
        <f t="shared" si="7"/>
        <v>1</v>
      </c>
      <c r="AL15" s="446">
        <f t="shared" si="7"/>
        <v>1</v>
      </c>
      <c r="AM15" s="446">
        <f t="shared" si="7"/>
        <v>1</v>
      </c>
      <c r="AN15" s="446">
        <f t="shared" si="7"/>
        <v>1</v>
      </c>
      <c r="AO15" s="446">
        <f t="shared" si="7"/>
        <v>1</v>
      </c>
      <c r="AP15" s="446">
        <f t="shared" si="7"/>
        <v>1</v>
      </c>
      <c r="AQ15" s="446">
        <f t="shared" si="7"/>
        <v>1</v>
      </c>
      <c r="AR15" s="446">
        <f t="shared" si="7"/>
        <v>1</v>
      </c>
    </row>
    <row r="16" spans="1:44" x14ac:dyDescent="0.2">
      <c r="A16" s="380"/>
      <c r="B16" s="380" t="str">
        <f>Inputs!$C$30</f>
        <v>2% Discount Factor</v>
      </c>
      <c r="C16" s="7" t="s">
        <v>54</v>
      </c>
      <c r="D16" s="445">
        <f>Inputs!E30</f>
        <v>0.02</v>
      </c>
      <c r="E16" s="445"/>
      <c r="F16" s="446">
        <f t="shared" ref="F16:L16" si="8">MIN(1,IF(F10=0,1,1/(1+$D16)^(F$10)))</f>
        <v>1</v>
      </c>
      <c r="G16" s="446">
        <f t="shared" si="8"/>
        <v>1</v>
      </c>
      <c r="H16" s="446">
        <f t="shared" si="8"/>
        <v>1</v>
      </c>
      <c r="I16" s="446">
        <f t="shared" si="8"/>
        <v>1</v>
      </c>
      <c r="J16" s="446">
        <f t="shared" si="8"/>
        <v>1</v>
      </c>
      <c r="K16" s="446">
        <f t="shared" si="8"/>
        <v>1</v>
      </c>
      <c r="L16" s="446">
        <f t="shared" si="8"/>
        <v>0.98039215686274506</v>
      </c>
      <c r="M16" s="446">
        <f>MIN(1,IF(M10=0,1,1/(1+$D16)^(M$10)))</f>
        <v>0.96116878123798544</v>
      </c>
      <c r="N16" s="446">
        <f t="shared" ref="N16:AR16" si="9">MIN(1,IF(N10=0,1,1/(1+$D16)^(N$10)))</f>
        <v>0.94232233454704462</v>
      </c>
      <c r="O16" s="446">
        <f t="shared" si="9"/>
        <v>0.9238454260265142</v>
      </c>
      <c r="P16" s="446">
        <f t="shared" si="9"/>
        <v>0.90573080982991594</v>
      </c>
      <c r="Q16" s="446">
        <f t="shared" si="9"/>
        <v>0.88797138218619198</v>
      </c>
      <c r="R16" s="446">
        <f t="shared" si="9"/>
        <v>0.87056017861391388</v>
      </c>
      <c r="S16" s="446">
        <f t="shared" si="9"/>
        <v>0.85349037119011162</v>
      </c>
      <c r="T16" s="446">
        <f t="shared" si="9"/>
        <v>0.83675526587265847</v>
      </c>
      <c r="U16" s="446">
        <f t="shared" si="9"/>
        <v>0.82034829987515534</v>
      </c>
      <c r="V16" s="446">
        <f t="shared" si="9"/>
        <v>0.80426303909328967</v>
      </c>
      <c r="W16" s="446">
        <f t="shared" si="9"/>
        <v>0.78849317558165644</v>
      </c>
      <c r="X16" s="446">
        <f t="shared" si="9"/>
        <v>0.77303252508005538</v>
      </c>
      <c r="Y16" s="446">
        <f t="shared" si="9"/>
        <v>0.75787502458828948</v>
      </c>
      <c r="Z16" s="446">
        <f t="shared" si="9"/>
        <v>0.74301472998851925</v>
      </c>
      <c r="AA16" s="446">
        <f t="shared" si="9"/>
        <v>0.72844581371423445</v>
      </c>
      <c r="AB16" s="446">
        <f t="shared" si="9"/>
        <v>0.7141625624649357</v>
      </c>
      <c r="AC16" s="446">
        <f t="shared" si="9"/>
        <v>0.7001593749656233</v>
      </c>
      <c r="AD16" s="446">
        <f t="shared" si="9"/>
        <v>0.68643075977021895</v>
      </c>
      <c r="AE16" s="446">
        <f t="shared" si="9"/>
        <v>0.67297133310805779</v>
      </c>
      <c r="AF16" s="446">
        <f t="shared" si="9"/>
        <v>0.65977581677260566</v>
      </c>
      <c r="AG16" s="446">
        <f t="shared" si="9"/>
        <v>0.64683903605157411</v>
      </c>
      <c r="AH16" s="446">
        <f t="shared" si="9"/>
        <v>0.63415591769762181</v>
      </c>
      <c r="AI16" s="446">
        <f t="shared" si="9"/>
        <v>0.62172148793884485</v>
      </c>
      <c r="AJ16" s="446">
        <f t="shared" si="9"/>
        <v>0.60953087052827937</v>
      </c>
      <c r="AK16" s="446">
        <f t="shared" si="9"/>
        <v>0.59757928483164635</v>
      </c>
      <c r="AL16" s="446">
        <f t="shared" si="9"/>
        <v>0.58586204395259456</v>
      </c>
      <c r="AM16" s="446">
        <f t="shared" si="9"/>
        <v>0.57437455289470041</v>
      </c>
      <c r="AN16" s="446">
        <f t="shared" si="9"/>
        <v>0.56311230675951029</v>
      </c>
      <c r="AO16" s="446">
        <f t="shared" si="9"/>
        <v>0.55207088897991197</v>
      </c>
      <c r="AP16" s="446">
        <f t="shared" si="9"/>
        <v>0.54124596958814919</v>
      </c>
      <c r="AQ16" s="446">
        <f t="shared" si="9"/>
        <v>0.53063330351779314</v>
      </c>
      <c r="AR16" s="446">
        <f t="shared" si="9"/>
        <v>0.52022872893901284</v>
      </c>
    </row>
    <row r="17" spans="1:44" x14ac:dyDescent="0.2">
      <c r="A17" s="380"/>
      <c r="B17" s="380" t="str">
        <f>Inputs!$C$31</f>
        <v>3.1% Discount Factor</v>
      </c>
      <c r="C17" s="7" t="s">
        <v>54</v>
      </c>
      <c r="D17" s="445">
        <f>Inputs!E31</f>
        <v>3.1E-2</v>
      </c>
      <c r="E17" s="445"/>
      <c r="F17" s="446">
        <f t="shared" ref="F17:L17" si="10">MIN(1,IF(F10=0,1,1/(1+$D17)^(F$10)))</f>
        <v>1</v>
      </c>
      <c r="G17" s="446">
        <f t="shared" si="10"/>
        <v>1</v>
      </c>
      <c r="H17" s="446">
        <f t="shared" si="10"/>
        <v>1</v>
      </c>
      <c r="I17" s="446">
        <f t="shared" si="10"/>
        <v>1</v>
      </c>
      <c r="J17" s="446">
        <f t="shared" si="10"/>
        <v>1</v>
      </c>
      <c r="K17" s="446">
        <f t="shared" si="10"/>
        <v>1</v>
      </c>
      <c r="L17" s="446">
        <f t="shared" si="10"/>
        <v>0.96993210475266745</v>
      </c>
      <c r="M17" s="446">
        <f>MIN(1,IF(M10=0,1,1/(1+$D17)^(M$10)))</f>
        <v>0.94076828782993938</v>
      </c>
      <c r="N17" s="446">
        <f t="shared" ref="N17:AR17" si="11">MIN(1,IF(N10=0,1,1/(1+$D17)^(N$10)))</f>
        <v>0.91248136549945624</v>
      </c>
      <c r="O17" s="446">
        <f t="shared" si="11"/>
        <v>0.88504497138647553</v>
      </c>
      <c r="P17" s="446">
        <f t="shared" si="11"/>
        <v>0.85843353189764848</v>
      </c>
      <c r="Q17" s="446">
        <f t="shared" si="11"/>
        <v>0.83262224238375215</v>
      </c>
      <c r="R17" s="446">
        <f t="shared" si="11"/>
        <v>0.80758704401915837</v>
      </c>
      <c r="S17" s="446">
        <f t="shared" si="11"/>
        <v>0.78330460137648728</v>
      </c>
      <c r="T17" s="446">
        <f t="shared" si="11"/>
        <v>0.75975228067554545</v>
      </c>
      <c r="U17" s="446">
        <f t="shared" si="11"/>
        <v>0.73690812868627109</v>
      </c>
      <c r="V17" s="446">
        <f t="shared" si="11"/>
        <v>0.71475085226602442</v>
      </c>
      <c r="W17" s="446">
        <f t="shared" si="11"/>
        <v>0.69325979851214781</v>
      </c>
      <c r="X17" s="446">
        <f t="shared" si="11"/>
        <v>0.67241493551129761</v>
      </c>
      <c r="Y17" s="446">
        <f t="shared" si="11"/>
        <v>0.65219683366760206</v>
      </c>
      <c r="Z17" s="446">
        <f t="shared" si="11"/>
        <v>0.63258664759224259</v>
      </c>
      <c r="AA17" s="446">
        <f t="shared" si="11"/>
        <v>0.6135660985375776</v>
      </c>
      <c r="AB17" s="446">
        <f t="shared" si="11"/>
        <v>0.59511745735943511</v>
      </c>
      <c r="AC17" s="446">
        <f t="shared" si="11"/>
        <v>0.57722352799169274</v>
      </c>
      <c r="AD17" s="446">
        <f t="shared" si="11"/>
        <v>0.55986763141774276</v>
      </c>
      <c r="AE17" s="446">
        <f t="shared" si="11"/>
        <v>0.54303359012390184</v>
      </c>
      <c r="AF17" s="446">
        <f t="shared" si="11"/>
        <v>0.52670571302027336</v>
      </c>
      <c r="AG17" s="446">
        <f t="shared" si="11"/>
        <v>0.51086878081500819</v>
      </c>
      <c r="AH17" s="446">
        <f t="shared" si="11"/>
        <v>0.49550803182832992</v>
      </c>
      <c r="AI17" s="446">
        <f t="shared" si="11"/>
        <v>0.4806091482331038</v>
      </c>
      <c r="AJ17" s="446">
        <f t="shared" si="11"/>
        <v>0.46615824270912104</v>
      </c>
      <c r="AK17" s="446">
        <f t="shared" si="11"/>
        <v>0.4521418454986626</v>
      </c>
      <c r="AL17" s="446">
        <f t="shared" si="11"/>
        <v>0.4385468918512731</v>
      </c>
      <c r="AM17" s="446">
        <f t="shared" si="11"/>
        <v>0.42536070984604568</v>
      </c>
      <c r="AN17" s="446">
        <f t="shared" si="11"/>
        <v>0.41257100858006374</v>
      </c>
      <c r="AO17" s="446">
        <f t="shared" si="11"/>
        <v>0.400165866711992</v>
      </c>
      <c r="AP17" s="446">
        <f t="shared" si="11"/>
        <v>0.38813372135013779</v>
      </c>
      <c r="AQ17" s="446">
        <f t="shared" si="11"/>
        <v>0.37646335727462438</v>
      </c>
      <c r="AR17" s="446">
        <f t="shared" si="11"/>
        <v>0.36514389648363188</v>
      </c>
    </row>
    <row r="19" spans="1:44" x14ac:dyDescent="0.2">
      <c r="A19" s="380"/>
      <c r="B19" s="380" t="s">
        <v>243</v>
      </c>
      <c r="C19" s="380" t="s">
        <v>48</v>
      </c>
      <c r="D19" s="380" t="s">
        <v>49</v>
      </c>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L19" s="380"/>
      <c r="AM19" s="380"/>
      <c r="AN19" s="380"/>
      <c r="AO19" s="380"/>
      <c r="AP19" s="380"/>
      <c r="AQ19" s="380"/>
      <c r="AR19" s="380"/>
    </row>
    <row r="20" spans="1:44" s="4" customFormat="1" x14ac:dyDescent="0.2">
      <c r="A20" s="449" t="s">
        <v>244</v>
      </c>
      <c r="B20" s="450"/>
      <c r="C20" s="450"/>
      <c r="D20" s="450"/>
      <c r="E20" s="450"/>
      <c r="F20" s="450"/>
      <c r="G20" s="450"/>
      <c r="H20" s="450"/>
      <c r="I20" s="450"/>
      <c r="J20" s="450"/>
      <c r="K20" s="450"/>
      <c r="L20" s="450"/>
      <c r="M20" s="450"/>
      <c r="N20" s="450"/>
      <c r="O20" s="450"/>
      <c r="P20" s="450"/>
      <c r="Q20" s="450"/>
      <c r="R20" s="450"/>
      <c r="S20" s="450"/>
      <c r="T20" s="450"/>
      <c r="U20" s="450"/>
      <c r="V20" s="450"/>
      <c r="W20" s="450"/>
      <c r="X20" s="450"/>
      <c r="Y20" s="450"/>
      <c r="Z20" s="450"/>
      <c r="AA20" s="450"/>
      <c r="AB20" s="450"/>
      <c r="AC20" s="450"/>
      <c r="AD20" s="450"/>
      <c r="AE20" s="450"/>
      <c r="AF20" s="450"/>
      <c r="AG20" s="450"/>
      <c r="AH20" s="450"/>
      <c r="AI20" s="450"/>
      <c r="AJ20" s="450"/>
      <c r="AK20" s="450"/>
      <c r="AL20" s="450"/>
      <c r="AM20" s="450"/>
      <c r="AN20" s="450"/>
      <c r="AO20" s="450"/>
      <c r="AP20" s="450"/>
      <c r="AQ20" s="450"/>
      <c r="AR20" s="450"/>
    </row>
    <row r="21" spans="1:44" ht="15" x14ac:dyDescent="0.25">
      <c r="A21" s="2" t="s">
        <v>170</v>
      </c>
      <c r="B21" s="380"/>
      <c r="C21" s="380"/>
      <c r="D21" s="380"/>
      <c r="E21" s="380"/>
      <c r="F21" s="380"/>
      <c r="G21" s="380"/>
      <c r="H21" s="380"/>
      <c r="I21" s="380"/>
      <c r="J21" s="380"/>
      <c r="K21" s="380"/>
      <c r="L21" s="380"/>
      <c r="M21" s="380"/>
      <c r="N21" s="380"/>
      <c r="O21" s="380"/>
      <c r="P21" s="380"/>
      <c r="Q21" s="380"/>
      <c r="R21" s="380"/>
      <c r="S21" s="380"/>
      <c r="T21" s="380"/>
      <c r="U21" s="380"/>
      <c r="V21" s="380"/>
      <c r="W21" s="380"/>
      <c r="X21" s="380"/>
      <c r="Y21" s="380"/>
      <c r="Z21" s="380"/>
      <c r="AA21" s="380"/>
      <c r="AB21" s="380"/>
      <c r="AC21" s="380"/>
      <c r="AD21" s="380"/>
      <c r="AE21" s="380"/>
      <c r="AF21" s="380"/>
      <c r="AG21" s="380"/>
      <c r="AH21" s="380"/>
      <c r="AI21" s="380"/>
      <c r="AJ21" s="380"/>
      <c r="AK21" s="380"/>
      <c r="AL21" s="380"/>
      <c r="AM21" s="380"/>
      <c r="AN21" s="380"/>
      <c r="AO21" s="380"/>
      <c r="AP21" s="380"/>
      <c r="AQ21" s="380"/>
      <c r="AR21" s="380"/>
    </row>
    <row r="22" spans="1:44" ht="15" x14ac:dyDescent="0.25">
      <c r="A22" s="380"/>
      <c r="B22" s="2" t="s">
        <v>169</v>
      </c>
      <c r="C22" s="52"/>
      <c r="D22" s="440"/>
      <c r="E22" s="380"/>
      <c r="F22" s="417"/>
      <c r="G22" s="417"/>
      <c r="H22" s="417"/>
      <c r="I22" s="417"/>
      <c r="J22" s="417"/>
      <c r="K22" s="417"/>
      <c r="L22" s="417"/>
      <c r="M22" s="417"/>
      <c r="N22" s="417"/>
      <c r="O22" s="417"/>
      <c r="P22" s="417"/>
      <c r="Q22" s="417"/>
      <c r="R22" s="417"/>
      <c r="S22" s="417"/>
      <c r="T22" s="417"/>
      <c r="U22" s="417"/>
      <c r="V22" s="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row>
    <row r="23" spans="1:44" x14ac:dyDescent="0.2">
      <c r="A23" s="380"/>
      <c r="B23" s="380" t="s">
        <v>171</v>
      </c>
      <c r="C23" s="52" t="s">
        <v>172</v>
      </c>
      <c r="D23" s="432">
        <f>Inputs!E108</f>
        <v>20.0625</v>
      </c>
      <c r="E23" s="380"/>
      <c r="F23" s="458">
        <f t="shared" ref="F23:AR23" si="12">IF(F$7=$D$24,$D$23,0)</f>
        <v>0</v>
      </c>
      <c r="G23" s="458">
        <f t="shared" si="12"/>
        <v>0</v>
      </c>
      <c r="H23" s="458">
        <f t="shared" si="12"/>
        <v>0</v>
      </c>
      <c r="I23" s="458">
        <f t="shared" si="12"/>
        <v>0</v>
      </c>
      <c r="J23" s="458">
        <f t="shared" si="12"/>
        <v>0</v>
      </c>
      <c r="K23" s="458">
        <f t="shared" si="12"/>
        <v>20.0625</v>
      </c>
      <c r="L23" s="458">
        <f t="shared" si="12"/>
        <v>0</v>
      </c>
      <c r="M23" s="458">
        <f t="shared" si="12"/>
        <v>0</v>
      </c>
      <c r="N23" s="458">
        <f t="shared" si="12"/>
        <v>0</v>
      </c>
      <c r="O23" s="458">
        <f t="shared" si="12"/>
        <v>0</v>
      </c>
      <c r="P23" s="458">
        <f t="shared" si="12"/>
        <v>0</v>
      </c>
      <c r="Q23" s="458">
        <f t="shared" si="12"/>
        <v>0</v>
      </c>
      <c r="R23" s="458">
        <f t="shared" si="12"/>
        <v>0</v>
      </c>
      <c r="S23" s="458">
        <f t="shared" si="12"/>
        <v>0</v>
      </c>
      <c r="T23" s="458">
        <f t="shared" si="12"/>
        <v>0</v>
      </c>
      <c r="U23" s="458">
        <f t="shared" si="12"/>
        <v>0</v>
      </c>
      <c r="V23" s="458">
        <f t="shared" si="12"/>
        <v>0</v>
      </c>
      <c r="W23" s="458">
        <f t="shared" si="12"/>
        <v>0</v>
      </c>
      <c r="X23" s="458">
        <f t="shared" si="12"/>
        <v>0</v>
      </c>
      <c r="Y23" s="458">
        <f t="shared" si="12"/>
        <v>0</v>
      </c>
      <c r="Z23" s="458">
        <f t="shared" si="12"/>
        <v>0</v>
      </c>
      <c r="AA23" s="458">
        <f t="shared" si="12"/>
        <v>0</v>
      </c>
      <c r="AB23" s="458">
        <f t="shared" si="12"/>
        <v>0</v>
      </c>
      <c r="AC23" s="458">
        <f t="shared" si="12"/>
        <v>0</v>
      </c>
      <c r="AD23" s="458">
        <f t="shared" si="12"/>
        <v>0</v>
      </c>
      <c r="AE23" s="458">
        <f t="shared" si="12"/>
        <v>0</v>
      </c>
      <c r="AF23" s="458">
        <f t="shared" si="12"/>
        <v>0</v>
      </c>
      <c r="AG23" s="458">
        <f t="shared" si="12"/>
        <v>0</v>
      </c>
      <c r="AH23" s="458">
        <f t="shared" si="12"/>
        <v>0</v>
      </c>
      <c r="AI23" s="458">
        <f t="shared" si="12"/>
        <v>0</v>
      </c>
      <c r="AJ23" s="458">
        <f t="shared" si="12"/>
        <v>0</v>
      </c>
      <c r="AK23" s="458">
        <f t="shared" si="12"/>
        <v>0</v>
      </c>
      <c r="AL23" s="458">
        <f t="shared" si="12"/>
        <v>0</v>
      </c>
      <c r="AM23" s="458">
        <f t="shared" si="12"/>
        <v>0</v>
      </c>
      <c r="AN23" s="458">
        <f t="shared" si="12"/>
        <v>0</v>
      </c>
      <c r="AO23" s="458">
        <f t="shared" si="12"/>
        <v>0</v>
      </c>
      <c r="AP23" s="458">
        <f t="shared" si="12"/>
        <v>0</v>
      </c>
      <c r="AQ23" s="458">
        <f t="shared" si="12"/>
        <v>0</v>
      </c>
      <c r="AR23" s="458">
        <f t="shared" si="12"/>
        <v>0</v>
      </c>
    </row>
    <row r="24" spans="1:44" x14ac:dyDescent="0.2">
      <c r="A24" s="380"/>
      <c r="B24" s="380" t="s">
        <v>171</v>
      </c>
      <c r="C24" s="52" t="s">
        <v>120</v>
      </c>
      <c r="D24" s="428">
        <f>Inputs!E109</f>
        <v>2023</v>
      </c>
      <c r="E24" s="380"/>
      <c r="F24" s="417"/>
      <c r="G24" s="417"/>
      <c r="H24" s="417"/>
      <c r="I24" s="417"/>
      <c r="J24" s="417"/>
      <c r="K24" s="417"/>
      <c r="L24" s="417"/>
      <c r="M24" s="417"/>
      <c r="N24" s="417"/>
      <c r="O24" s="417"/>
      <c r="P24" s="417"/>
      <c r="Q24" s="417"/>
      <c r="R24" s="417"/>
      <c r="S24" s="417"/>
      <c r="T24" s="417"/>
      <c r="U24" s="417"/>
      <c r="V24" s="417"/>
      <c r="W24" s="417"/>
      <c r="X24" s="417"/>
      <c r="Y24" s="417"/>
      <c r="Z24" s="417"/>
      <c r="AA24" s="417"/>
      <c r="AB24" s="417"/>
      <c r="AC24" s="417"/>
      <c r="AD24" s="417"/>
      <c r="AE24" s="417"/>
      <c r="AF24" s="417"/>
      <c r="AG24" s="417"/>
      <c r="AH24" s="417"/>
      <c r="AI24" s="417"/>
      <c r="AJ24" s="417"/>
      <c r="AK24" s="417"/>
      <c r="AL24" s="417"/>
      <c r="AM24" s="417"/>
      <c r="AN24" s="417"/>
      <c r="AO24" s="417"/>
      <c r="AP24" s="417"/>
      <c r="AQ24" s="417"/>
      <c r="AR24" s="417"/>
    </row>
    <row r="25" spans="1:44" x14ac:dyDescent="0.2">
      <c r="A25" s="380"/>
      <c r="B25" s="380" t="s">
        <v>173</v>
      </c>
      <c r="C25" s="52" t="s">
        <v>172</v>
      </c>
      <c r="D25" s="432">
        <f>Inputs!E110</f>
        <v>49.05</v>
      </c>
      <c r="E25" s="380"/>
      <c r="F25" s="417"/>
      <c r="G25" s="417"/>
      <c r="H25" s="417"/>
      <c r="I25" s="417"/>
      <c r="J25" s="417"/>
      <c r="K25" s="417"/>
      <c r="L25" s="417"/>
      <c r="M25" s="417"/>
      <c r="N25" s="417"/>
      <c r="O25" s="417"/>
      <c r="P25" s="417"/>
      <c r="Q25" s="417"/>
      <c r="R25" s="417"/>
      <c r="S25" s="417"/>
      <c r="T25" s="417"/>
      <c r="U25" s="417"/>
      <c r="V25" s="417"/>
      <c r="W25" s="417"/>
      <c r="X25" s="417"/>
      <c r="Y25" s="417"/>
      <c r="Z25" s="417"/>
      <c r="AA25" s="417"/>
      <c r="AB25" s="417"/>
      <c r="AC25" s="417"/>
      <c r="AD25" s="417"/>
      <c r="AE25" s="417"/>
      <c r="AF25" s="417"/>
      <c r="AG25" s="417"/>
      <c r="AH25" s="417"/>
      <c r="AI25" s="417"/>
      <c r="AJ25" s="417"/>
      <c r="AK25" s="417"/>
      <c r="AL25" s="417"/>
      <c r="AM25" s="417"/>
      <c r="AN25" s="417"/>
      <c r="AO25" s="417"/>
      <c r="AP25" s="417"/>
      <c r="AQ25" s="417"/>
      <c r="AR25" s="417"/>
    </row>
    <row r="26" spans="1:44" x14ac:dyDescent="0.2">
      <c r="A26" s="380"/>
      <c r="B26" s="380" t="s">
        <v>173</v>
      </c>
      <c r="C26" s="52" t="s">
        <v>120</v>
      </c>
      <c r="D26" s="428">
        <f>Inputs!E116</f>
        <v>2046</v>
      </c>
      <c r="E26" s="380"/>
      <c r="F26" s="417"/>
      <c r="G26" s="417"/>
      <c r="H26" s="417"/>
      <c r="I26" s="417"/>
      <c r="J26" s="417"/>
      <c r="K26" s="417"/>
      <c r="L26" s="417"/>
      <c r="M26" s="417"/>
      <c r="N26" s="417"/>
      <c r="O26" s="417"/>
      <c r="P26" s="417"/>
      <c r="Q26" s="417"/>
      <c r="R26" s="417"/>
      <c r="S26" s="417"/>
      <c r="T26" s="417"/>
      <c r="U26" s="417"/>
      <c r="V26" s="417"/>
      <c r="W26" s="417"/>
      <c r="X26" s="417"/>
      <c r="Y26" s="417"/>
      <c r="Z26" s="417"/>
      <c r="AA26" s="417"/>
      <c r="AB26" s="417"/>
      <c r="AC26" s="417"/>
      <c r="AD26" s="417"/>
      <c r="AE26" s="417"/>
      <c r="AF26" s="417"/>
      <c r="AG26" s="417"/>
      <c r="AH26" s="417"/>
      <c r="AI26" s="417"/>
      <c r="AJ26" s="417"/>
      <c r="AK26" s="417"/>
      <c r="AL26" s="417"/>
      <c r="AM26" s="417"/>
      <c r="AN26" s="417"/>
      <c r="AO26" s="417"/>
      <c r="AP26" s="417"/>
      <c r="AQ26" s="417"/>
      <c r="AR26" s="417"/>
    </row>
    <row r="27" spans="1:44" x14ac:dyDescent="0.2">
      <c r="A27" s="380"/>
      <c r="B27" s="380" t="s">
        <v>301</v>
      </c>
      <c r="C27" s="52" t="s">
        <v>172</v>
      </c>
      <c r="D27" s="459">
        <f>(D25-D23)/(D26-D24)</f>
        <v>1.2603260869565216</v>
      </c>
      <c r="E27" s="380"/>
      <c r="F27" s="417"/>
      <c r="G27" s="417"/>
      <c r="H27" s="417"/>
      <c r="I27" s="417"/>
      <c r="J27" s="417"/>
      <c r="K27" s="417"/>
      <c r="L27" s="417"/>
      <c r="M27" s="417"/>
      <c r="N27" s="417"/>
      <c r="O27" s="417"/>
      <c r="P27" s="417"/>
      <c r="Q27" s="417"/>
      <c r="R27" s="417"/>
      <c r="S27" s="417"/>
      <c r="T27" s="417"/>
      <c r="U27" s="417"/>
      <c r="V27" s="417"/>
      <c r="W27" s="417"/>
      <c r="X27" s="417"/>
      <c r="Y27" s="417"/>
      <c r="Z27" s="417"/>
      <c r="AA27" s="417"/>
      <c r="AB27" s="417"/>
      <c r="AC27" s="417"/>
      <c r="AD27" s="417"/>
      <c r="AE27" s="417"/>
      <c r="AF27" s="417"/>
      <c r="AG27" s="417"/>
      <c r="AH27" s="417"/>
      <c r="AI27" s="417"/>
      <c r="AJ27" s="417"/>
      <c r="AK27" s="417"/>
      <c r="AL27" s="417"/>
      <c r="AM27" s="417"/>
      <c r="AN27" s="417"/>
      <c r="AO27" s="417"/>
      <c r="AP27" s="417"/>
      <c r="AQ27" s="417"/>
      <c r="AR27" s="417"/>
    </row>
    <row r="28" spans="1:44" x14ac:dyDescent="0.2">
      <c r="A28" s="380"/>
      <c r="B28" s="380" t="s">
        <v>302</v>
      </c>
      <c r="C28" s="52" t="s">
        <v>106</v>
      </c>
      <c r="D28" s="453"/>
      <c r="E28" s="380"/>
      <c r="F28" s="417">
        <f t="shared" ref="F28:AR28" si="13">IF(F7&gt;$D$24,1,0)</f>
        <v>0</v>
      </c>
      <c r="G28" s="417">
        <f t="shared" si="13"/>
        <v>0</v>
      </c>
      <c r="H28" s="417">
        <f t="shared" si="13"/>
        <v>0</v>
      </c>
      <c r="I28" s="417">
        <f t="shared" si="13"/>
        <v>0</v>
      </c>
      <c r="J28" s="417">
        <f t="shared" si="13"/>
        <v>0</v>
      </c>
      <c r="K28" s="417">
        <f t="shared" si="13"/>
        <v>0</v>
      </c>
      <c r="L28" s="417">
        <f t="shared" si="13"/>
        <v>1</v>
      </c>
      <c r="M28" s="417">
        <f t="shared" si="13"/>
        <v>1</v>
      </c>
      <c r="N28" s="417">
        <f t="shared" si="13"/>
        <v>1</v>
      </c>
      <c r="O28" s="417">
        <f t="shared" si="13"/>
        <v>1</v>
      </c>
      <c r="P28" s="417">
        <f t="shared" si="13"/>
        <v>1</v>
      </c>
      <c r="Q28" s="417">
        <f t="shared" si="13"/>
        <v>1</v>
      </c>
      <c r="R28" s="417">
        <f t="shared" si="13"/>
        <v>1</v>
      </c>
      <c r="S28" s="417">
        <f t="shared" si="13"/>
        <v>1</v>
      </c>
      <c r="T28" s="417">
        <f t="shared" si="13"/>
        <v>1</v>
      </c>
      <c r="U28" s="417">
        <f t="shared" si="13"/>
        <v>1</v>
      </c>
      <c r="V28" s="417">
        <f t="shared" si="13"/>
        <v>1</v>
      </c>
      <c r="W28" s="417">
        <f t="shared" si="13"/>
        <v>1</v>
      </c>
      <c r="X28" s="417">
        <f t="shared" si="13"/>
        <v>1</v>
      </c>
      <c r="Y28" s="417">
        <f t="shared" si="13"/>
        <v>1</v>
      </c>
      <c r="Z28" s="417">
        <f t="shared" si="13"/>
        <v>1</v>
      </c>
      <c r="AA28" s="417">
        <f t="shared" si="13"/>
        <v>1</v>
      </c>
      <c r="AB28" s="417">
        <f t="shared" si="13"/>
        <v>1</v>
      </c>
      <c r="AC28" s="417">
        <f t="shared" si="13"/>
        <v>1</v>
      </c>
      <c r="AD28" s="417">
        <f t="shared" si="13"/>
        <v>1</v>
      </c>
      <c r="AE28" s="417">
        <f t="shared" si="13"/>
        <v>1</v>
      </c>
      <c r="AF28" s="417">
        <f t="shared" si="13"/>
        <v>1</v>
      </c>
      <c r="AG28" s="417">
        <f t="shared" si="13"/>
        <v>1</v>
      </c>
      <c r="AH28" s="417">
        <f t="shared" si="13"/>
        <v>1</v>
      </c>
      <c r="AI28" s="417">
        <f t="shared" si="13"/>
        <v>1</v>
      </c>
      <c r="AJ28" s="417">
        <f t="shared" si="13"/>
        <v>1</v>
      </c>
      <c r="AK28" s="417">
        <f t="shared" si="13"/>
        <v>1</v>
      </c>
      <c r="AL28" s="417">
        <f t="shared" si="13"/>
        <v>1</v>
      </c>
      <c r="AM28" s="417">
        <f t="shared" si="13"/>
        <v>1</v>
      </c>
      <c r="AN28" s="417">
        <f t="shared" si="13"/>
        <v>1</v>
      </c>
      <c r="AO28" s="417">
        <f t="shared" si="13"/>
        <v>1</v>
      </c>
      <c r="AP28" s="417">
        <f t="shared" si="13"/>
        <v>1</v>
      </c>
      <c r="AQ28" s="417">
        <f t="shared" si="13"/>
        <v>1</v>
      </c>
      <c r="AR28" s="417">
        <f t="shared" si="13"/>
        <v>1</v>
      </c>
    </row>
    <row r="29" spans="1:44" ht="15" x14ac:dyDescent="0.25">
      <c r="A29" s="2"/>
      <c r="B29" s="380" t="s">
        <v>323</v>
      </c>
      <c r="C29" s="52" t="s">
        <v>172</v>
      </c>
      <c r="D29" s="432">
        <f>SUM(F29:AR29)</f>
        <v>1389.1679347826093</v>
      </c>
      <c r="E29" s="380"/>
      <c r="F29" s="432">
        <f t="shared" ref="F29:AR29" si="14">E29+F23+F28*$D$27</f>
        <v>0</v>
      </c>
      <c r="G29" s="432">
        <f t="shared" si="14"/>
        <v>0</v>
      </c>
      <c r="H29" s="432">
        <f t="shared" si="14"/>
        <v>0</v>
      </c>
      <c r="I29" s="432">
        <f t="shared" si="14"/>
        <v>0</v>
      </c>
      <c r="J29" s="432">
        <f t="shared" si="14"/>
        <v>0</v>
      </c>
      <c r="K29" s="432">
        <f t="shared" si="14"/>
        <v>20.0625</v>
      </c>
      <c r="L29" s="432">
        <f t="shared" si="14"/>
        <v>21.322826086956521</v>
      </c>
      <c r="M29" s="432">
        <f t="shared" si="14"/>
        <v>22.583152173913042</v>
      </c>
      <c r="N29" s="432">
        <f t="shared" si="14"/>
        <v>23.843478260869563</v>
      </c>
      <c r="O29" s="432">
        <f t="shared" si="14"/>
        <v>25.103804347826085</v>
      </c>
      <c r="P29" s="432">
        <f t="shared" si="14"/>
        <v>26.364130434782606</v>
      </c>
      <c r="Q29" s="432">
        <f t="shared" si="14"/>
        <v>27.624456521739127</v>
      </c>
      <c r="R29" s="432">
        <f t="shared" si="14"/>
        <v>28.884782608695648</v>
      </c>
      <c r="S29" s="432">
        <f t="shared" si="14"/>
        <v>30.145108695652169</v>
      </c>
      <c r="T29" s="432">
        <f t="shared" si="14"/>
        <v>31.40543478260869</v>
      </c>
      <c r="U29" s="432">
        <f t="shared" si="14"/>
        <v>32.665760869565212</v>
      </c>
      <c r="V29" s="432">
        <f t="shared" si="14"/>
        <v>33.926086956521736</v>
      </c>
      <c r="W29" s="432">
        <f t="shared" si="14"/>
        <v>35.186413043478261</v>
      </c>
      <c r="X29" s="432">
        <f t="shared" si="14"/>
        <v>36.446739130434786</v>
      </c>
      <c r="Y29" s="432">
        <f t="shared" si="14"/>
        <v>37.70706521739131</v>
      </c>
      <c r="Z29" s="432">
        <f t="shared" si="14"/>
        <v>38.967391304347835</v>
      </c>
      <c r="AA29" s="432">
        <f t="shared" si="14"/>
        <v>40.22771739130436</v>
      </c>
      <c r="AB29" s="432">
        <f t="shared" si="14"/>
        <v>41.488043478260884</v>
      </c>
      <c r="AC29" s="432">
        <f t="shared" si="14"/>
        <v>42.748369565217409</v>
      </c>
      <c r="AD29" s="432">
        <f t="shared" si="14"/>
        <v>44.008695652173934</v>
      </c>
      <c r="AE29" s="432">
        <f t="shared" si="14"/>
        <v>45.269021739130459</v>
      </c>
      <c r="AF29" s="432">
        <f t="shared" si="14"/>
        <v>46.529347826086983</v>
      </c>
      <c r="AG29" s="432">
        <f t="shared" si="14"/>
        <v>47.789673913043508</v>
      </c>
      <c r="AH29" s="432">
        <f t="shared" si="14"/>
        <v>49.050000000000033</v>
      </c>
      <c r="AI29" s="432">
        <f t="shared" si="14"/>
        <v>50.310326086956557</v>
      </c>
      <c r="AJ29" s="432">
        <f t="shared" si="14"/>
        <v>51.570652173913082</v>
      </c>
      <c r="AK29" s="432">
        <f t="shared" si="14"/>
        <v>52.830978260869607</v>
      </c>
      <c r="AL29" s="432">
        <f t="shared" si="14"/>
        <v>54.091304347826132</v>
      </c>
      <c r="AM29" s="432">
        <f t="shared" si="14"/>
        <v>55.351630434782656</v>
      </c>
      <c r="AN29" s="432">
        <f t="shared" si="14"/>
        <v>56.611956521739181</v>
      </c>
      <c r="AO29" s="432">
        <f t="shared" si="14"/>
        <v>57.872282608695706</v>
      </c>
      <c r="AP29" s="432">
        <f t="shared" si="14"/>
        <v>59.13260869565223</v>
      </c>
      <c r="AQ29" s="432">
        <f t="shared" si="14"/>
        <v>60.392934782608755</v>
      </c>
      <c r="AR29" s="432">
        <f t="shared" si="14"/>
        <v>61.65326086956528</v>
      </c>
    </row>
    <row r="30" spans="1:44" ht="15" x14ac:dyDescent="0.25">
      <c r="A30" s="2"/>
      <c r="B30" s="380" t="s">
        <v>324</v>
      </c>
      <c r="C30" s="52" t="s">
        <v>325</v>
      </c>
      <c r="D30" s="432">
        <f>Inputs!$E$33</f>
        <v>1000</v>
      </c>
      <c r="E30" s="380"/>
      <c r="F30" s="432"/>
      <c r="G30" s="432"/>
      <c r="H30" s="432"/>
      <c r="I30" s="432"/>
      <c r="J30" s="432"/>
      <c r="K30" s="432"/>
      <c r="L30" s="432"/>
      <c r="M30" s="432"/>
      <c r="N30" s="432"/>
      <c r="O30" s="432"/>
      <c r="P30" s="432"/>
      <c r="Q30" s="432"/>
      <c r="R30" s="432"/>
      <c r="S30" s="432"/>
      <c r="T30" s="432"/>
      <c r="U30" s="432"/>
      <c r="V30" s="432"/>
      <c r="W30" s="432"/>
      <c r="X30" s="432"/>
      <c r="Y30" s="432"/>
      <c r="Z30" s="432"/>
      <c r="AA30" s="432"/>
      <c r="AB30" s="432"/>
      <c r="AC30" s="432"/>
      <c r="AD30" s="432"/>
      <c r="AE30" s="432"/>
      <c r="AF30" s="432"/>
      <c r="AG30" s="432"/>
      <c r="AH30" s="432"/>
      <c r="AI30" s="432"/>
      <c r="AJ30" s="432"/>
      <c r="AK30" s="432"/>
      <c r="AL30" s="432"/>
      <c r="AM30" s="432"/>
      <c r="AN30" s="432"/>
      <c r="AO30" s="432"/>
      <c r="AP30" s="432"/>
      <c r="AQ30" s="432"/>
      <c r="AR30" s="432"/>
    </row>
    <row r="31" spans="1:44" ht="15" x14ac:dyDescent="0.25">
      <c r="A31" s="2"/>
      <c r="B31" s="380" t="s">
        <v>326</v>
      </c>
      <c r="C31" s="52" t="s">
        <v>327</v>
      </c>
      <c r="D31" s="432">
        <f>Inputs!$E$32</f>
        <v>365</v>
      </c>
      <c r="E31" s="380"/>
      <c r="F31" s="432"/>
      <c r="G31" s="432"/>
      <c r="H31" s="432"/>
      <c r="I31" s="432"/>
      <c r="J31" s="432"/>
      <c r="K31" s="432"/>
      <c r="L31" s="432"/>
      <c r="M31" s="432"/>
      <c r="N31" s="432"/>
      <c r="O31" s="432"/>
      <c r="P31" s="432"/>
      <c r="Q31" s="432"/>
      <c r="R31" s="432"/>
      <c r="S31" s="432"/>
      <c r="T31" s="432"/>
      <c r="U31" s="432"/>
      <c r="V31" s="432"/>
      <c r="W31" s="432"/>
      <c r="X31" s="432"/>
      <c r="Y31" s="432"/>
      <c r="Z31" s="432"/>
      <c r="AA31" s="432"/>
      <c r="AB31" s="432"/>
      <c r="AC31" s="432"/>
      <c r="AD31" s="432"/>
      <c r="AE31" s="432"/>
      <c r="AF31" s="432"/>
      <c r="AG31" s="432"/>
      <c r="AH31" s="432"/>
      <c r="AI31" s="432"/>
      <c r="AJ31" s="432"/>
      <c r="AK31" s="432"/>
      <c r="AL31" s="432"/>
      <c r="AM31" s="432"/>
      <c r="AN31" s="432"/>
      <c r="AO31" s="432"/>
      <c r="AP31" s="432"/>
      <c r="AQ31" s="432"/>
      <c r="AR31" s="432"/>
    </row>
    <row r="32" spans="1:44" ht="15" x14ac:dyDescent="0.25">
      <c r="A32" s="2"/>
      <c r="B32" s="380" t="s">
        <v>323</v>
      </c>
      <c r="C32" s="52" t="s">
        <v>328</v>
      </c>
      <c r="D32" s="432">
        <f>SUM(F32:AR32)</f>
        <v>507.04629619565225</v>
      </c>
      <c r="E32" s="380"/>
      <c r="F32" s="432">
        <f>F29*$D$31/$D$30</f>
        <v>0</v>
      </c>
      <c r="G32" s="432">
        <f t="shared" ref="G32:AR32" si="15">G29*$D$31/$D$30</f>
        <v>0</v>
      </c>
      <c r="H32" s="432">
        <f t="shared" si="15"/>
        <v>0</v>
      </c>
      <c r="I32" s="432">
        <f t="shared" si="15"/>
        <v>0</v>
      </c>
      <c r="J32" s="432">
        <f t="shared" si="15"/>
        <v>0</v>
      </c>
      <c r="K32" s="432">
        <f t="shared" si="15"/>
        <v>7.3228125000000004</v>
      </c>
      <c r="L32" s="432">
        <f t="shared" si="15"/>
        <v>7.78283152173913</v>
      </c>
      <c r="M32" s="432">
        <f t="shared" si="15"/>
        <v>8.2428505434782604</v>
      </c>
      <c r="N32" s="432">
        <f t="shared" si="15"/>
        <v>8.7028695652173909</v>
      </c>
      <c r="O32" s="432">
        <f t="shared" si="15"/>
        <v>9.1628885869565195</v>
      </c>
      <c r="P32" s="432">
        <f t="shared" si="15"/>
        <v>9.62290760869565</v>
      </c>
      <c r="Q32" s="432">
        <f t="shared" si="15"/>
        <v>10.082926630434782</v>
      </c>
      <c r="R32" s="432">
        <f t="shared" si="15"/>
        <v>10.542945652173913</v>
      </c>
      <c r="S32" s="432">
        <f t="shared" si="15"/>
        <v>11.002964673913041</v>
      </c>
      <c r="T32" s="432">
        <f t="shared" si="15"/>
        <v>11.462983695652172</v>
      </c>
      <c r="U32" s="432">
        <f t="shared" si="15"/>
        <v>11.923002717391302</v>
      </c>
      <c r="V32" s="432">
        <f t="shared" si="15"/>
        <v>12.383021739130434</v>
      </c>
      <c r="W32" s="432">
        <f t="shared" si="15"/>
        <v>12.843040760869567</v>
      </c>
      <c r="X32" s="432">
        <f t="shared" si="15"/>
        <v>13.303059782608695</v>
      </c>
      <c r="Y32" s="432">
        <f t="shared" si="15"/>
        <v>13.763078804347828</v>
      </c>
      <c r="Z32" s="432">
        <f t="shared" si="15"/>
        <v>14.22309782608696</v>
      </c>
      <c r="AA32" s="432">
        <f t="shared" si="15"/>
        <v>14.683116847826092</v>
      </c>
      <c r="AB32" s="432">
        <f t="shared" si="15"/>
        <v>15.143135869565224</v>
      </c>
      <c r="AC32" s="432">
        <f t="shared" si="15"/>
        <v>15.603154891304353</v>
      </c>
      <c r="AD32" s="432">
        <f t="shared" si="15"/>
        <v>16.063173913043485</v>
      </c>
      <c r="AE32" s="432">
        <f t="shared" si="15"/>
        <v>16.523192934782617</v>
      </c>
      <c r="AF32" s="432">
        <f t="shared" si="15"/>
        <v>16.983211956521746</v>
      </c>
      <c r="AG32" s="432">
        <f t="shared" si="15"/>
        <v>17.443230978260878</v>
      </c>
      <c r="AH32" s="432">
        <f t="shared" si="15"/>
        <v>17.903250000000011</v>
      </c>
      <c r="AI32" s="432">
        <f t="shared" si="15"/>
        <v>18.363269021739143</v>
      </c>
      <c r="AJ32" s="432">
        <f t="shared" si="15"/>
        <v>18.823288043478275</v>
      </c>
      <c r="AK32" s="432">
        <f t="shared" si="15"/>
        <v>19.283307065217407</v>
      </c>
      <c r="AL32" s="432">
        <f t="shared" si="15"/>
        <v>19.743326086956539</v>
      </c>
      <c r="AM32" s="432">
        <f t="shared" si="15"/>
        <v>20.203345108695672</v>
      </c>
      <c r="AN32" s="432">
        <f t="shared" si="15"/>
        <v>20.6633641304348</v>
      </c>
      <c r="AO32" s="432">
        <f t="shared" si="15"/>
        <v>21.123383152173933</v>
      </c>
      <c r="AP32" s="432">
        <f t="shared" si="15"/>
        <v>21.583402173913065</v>
      </c>
      <c r="AQ32" s="432">
        <f t="shared" si="15"/>
        <v>22.043421195652193</v>
      </c>
      <c r="AR32" s="432">
        <f t="shared" si="15"/>
        <v>22.503440217391326</v>
      </c>
    </row>
    <row r="33" spans="1:44" ht="15" x14ac:dyDescent="0.25">
      <c r="A33" s="2"/>
      <c r="B33" s="380"/>
      <c r="C33" s="52"/>
      <c r="D33" s="432"/>
      <c r="E33" s="380"/>
      <c r="F33" s="432"/>
      <c r="G33" s="432"/>
      <c r="H33" s="432"/>
      <c r="I33" s="432"/>
      <c r="J33" s="432"/>
      <c r="K33" s="432"/>
      <c r="L33" s="432"/>
      <c r="M33" s="432"/>
      <c r="N33" s="432"/>
      <c r="O33" s="432"/>
      <c r="P33" s="432"/>
      <c r="Q33" s="432"/>
      <c r="R33" s="432"/>
      <c r="S33" s="432"/>
      <c r="T33" s="432"/>
      <c r="U33" s="432"/>
      <c r="V33" s="432"/>
      <c r="W33" s="432"/>
      <c r="X33" s="432"/>
      <c r="Y33" s="432"/>
      <c r="Z33" s="432"/>
      <c r="AA33" s="432"/>
      <c r="AB33" s="432"/>
      <c r="AC33" s="432"/>
      <c r="AD33" s="432"/>
      <c r="AE33" s="432"/>
      <c r="AF33" s="432"/>
      <c r="AG33" s="432"/>
      <c r="AH33" s="432"/>
      <c r="AI33" s="432"/>
      <c r="AJ33" s="432"/>
      <c r="AK33" s="432"/>
      <c r="AL33" s="432"/>
      <c r="AM33" s="432"/>
      <c r="AN33" s="432"/>
      <c r="AO33" s="432"/>
      <c r="AP33" s="432"/>
      <c r="AQ33" s="432"/>
      <c r="AR33" s="432"/>
    </row>
    <row r="34" spans="1:44" ht="15" x14ac:dyDescent="0.25">
      <c r="A34" s="380"/>
      <c r="B34" s="2" t="s">
        <v>329</v>
      </c>
      <c r="C34" s="52"/>
      <c r="D34" s="432"/>
      <c r="E34" s="380"/>
      <c r="F34" s="417"/>
      <c r="G34" s="417"/>
      <c r="H34" s="417"/>
      <c r="I34" s="417"/>
      <c r="J34" s="417"/>
      <c r="K34" s="417"/>
      <c r="L34" s="417"/>
      <c r="M34" s="417"/>
      <c r="N34" s="417"/>
      <c r="O34" s="417"/>
      <c r="P34" s="417"/>
      <c r="Q34" s="417"/>
      <c r="R34" s="417"/>
      <c r="S34" s="417"/>
      <c r="T34" s="417"/>
      <c r="U34" s="417"/>
      <c r="V34" s="417"/>
      <c r="W34" s="417"/>
      <c r="X34" s="417"/>
      <c r="Y34" s="417"/>
      <c r="Z34" s="417"/>
      <c r="AA34" s="417"/>
      <c r="AB34" s="417"/>
      <c r="AC34" s="417"/>
      <c r="AD34" s="417"/>
      <c r="AE34" s="417"/>
      <c r="AF34" s="417"/>
      <c r="AG34" s="417"/>
      <c r="AH34" s="417"/>
      <c r="AI34" s="417"/>
      <c r="AJ34" s="417"/>
      <c r="AK34" s="417"/>
      <c r="AL34" s="417"/>
      <c r="AM34" s="417"/>
      <c r="AN34" s="417"/>
      <c r="AO34" s="417"/>
      <c r="AP34" s="417"/>
      <c r="AQ34" s="417"/>
      <c r="AR34" s="417"/>
    </row>
    <row r="35" spans="1:44" x14ac:dyDescent="0.2">
      <c r="A35" s="380"/>
      <c r="B35" s="380" t="s">
        <v>330</v>
      </c>
      <c r="C35" s="52" t="s">
        <v>181</v>
      </c>
      <c r="D35" s="460"/>
      <c r="E35" s="380"/>
      <c r="F35" s="417">
        <f>IFERROR(HLOOKUP(F$7,Inputs!$H$129:$AJ$133,5),0)</f>
        <v>0</v>
      </c>
      <c r="G35" s="417">
        <f>IFERROR(HLOOKUP(G$7,Inputs!$H$129:$AJ$133,5),0)</f>
        <v>0</v>
      </c>
      <c r="H35" s="417">
        <f>IFERROR(HLOOKUP(H$7,Inputs!$H$129:$AJ$133,5),0)</f>
        <v>0</v>
      </c>
      <c r="I35" s="417">
        <f>IFERROR(HLOOKUP(I$7,Inputs!$H$129:$AJ$133,5),0)</f>
        <v>0</v>
      </c>
      <c r="J35" s="417">
        <f>IFERROR(HLOOKUP(J$7,Inputs!$H$129:$AJ$133,5),0)</f>
        <v>0</v>
      </c>
      <c r="K35" s="417">
        <f>IFERROR(HLOOKUP(K$7,Inputs!$H$129:$AJ$133,5),0)</f>
        <v>228.37600706009624</v>
      </c>
      <c r="L35" s="417">
        <f>IFERROR(HLOOKUP(L$7,Inputs!$H$129:$AJ$133,5),0)</f>
        <v>232.85396798284322</v>
      </c>
      <c r="M35" s="417">
        <f>IFERROR(HLOOKUP(M$7,Inputs!$H$129:$AJ$133,5),0)</f>
        <v>237.33192890559022</v>
      </c>
      <c r="N35" s="417">
        <f>IFERROR(HLOOKUP(N$7,Inputs!$H$129:$AJ$133,5),0)</f>
        <v>240.69039959765044</v>
      </c>
      <c r="O35" s="417">
        <f>IFERROR(HLOOKUP(O$7,Inputs!$H$129:$AJ$133,5),0)</f>
        <v>245.16836052039741</v>
      </c>
      <c r="P35" s="417">
        <f>IFERROR(HLOOKUP(P$7,Inputs!$H$129:$AJ$133,5),0)</f>
        <v>249.64632144314442</v>
      </c>
      <c r="Q35" s="417">
        <f>IFERROR(HLOOKUP(Q$7,Inputs!$H$129:$AJ$133,5),0)</f>
        <v>253.00479213520464</v>
      </c>
      <c r="R35" s="417">
        <f>IFERROR(HLOOKUP(R$7,Inputs!$H$129:$AJ$133,5),0)</f>
        <v>257.48275305795164</v>
      </c>
      <c r="S35" s="417">
        <f>IFERROR(HLOOKUP(S$7,Inputs!$H$129:$AJ$133,5),0)</f>
        <v>261.96071398069864</v>
      </c>
      <c r="T35" s="417">
        <f>IFERROR(HLOOKUP(T$7,Inputs!$H$129:$AJ$133,5),0)</f>
        <v>265.31918467275887</v>
      </c>
      <c r="U35" s="417">
        <f>IFERROR(HLOOKUP(U$7,Inputs!$H$129:$AJ$133,5),0)</f>
        <v>269.79714559550587</v>
      </c>
      <c r="V35" s="417">
        <f>IFERROR(HLOOKUP(V$7,Inputs!$H$129:$AJ$133,5),0)</f>
        <v>274.27510651825281</v>
      </c>
      <c r="W35" s="417">
        <f>IFERROR(HLOOKUP(W$7,Inputs!$H$129:$AJ$133,5),0)</f>
        <v>277.63357721031309</v>
      </c>
      <c r="X35" s="417">
        <f>IFERROR(HLOOKUP(X$7,Inputs!$H$129:$AJ$133,5),0)</f>
        <v>282.11153813306004</v>
      </c>
      <c r="Y35" s="417">
        <f>IFERROR(HLOOKUP(Y$7,Inputs!$H$129:$AJ$133,5),0)</f>
        <v>286.58949905580704</v>
      </c>
      <c r="Z35" s="417">
        <f>IFERROR(HLOOKUP(Z$7,Inputs!$H$129:$AJ$133,5),0)</f>
        <v>289.94796974786726</v>
      </c>
      <c r="AA35" s="417">
        <f>IFERROR(HLOOKUP(AA$7,Inputs!$H$129:$AJ$133,5),0)</f>
        <v>294.42593067061426</v>
      </c>
      <c r="AB35" s="417">
        <f>IFERROR(HLOOKUP(AB$7,Inputs!$H$129:$AJ$133,5),0)</f>
        <v>298.90389159336127</v>
      </c>
      <c r="AC35" s="417">
        <f>IFERROR(HLOOKUP(AC$7,Inputs!$H$129:$AJ$133,5),0)</f>
        <v>303.38185251610821</v>
      </c>
      <c r="AD35" s="417">
        <f>IFERROR(HLOOKUP(AD$7,Inputs!$H$129:$AJ$133,5),0)</f>
        <v>307.85981343885521</v>
      </c>
      <c r="AE35" s="417">
        <f>IFERROR(HLOOKUP(AE$7,Inputs!$H$129:$AJ$133,5),0)</f>
        <v>312.33777436160221</v>
      </c>
      <c r="AF35" s="417">
        <f>IFERROR(HLOOKUP(AF$7,Inputs!$H$129:$AJ$133,5),0)</f>
        <v>316.81573528434916</v>
      </c>
      <c r="AG35" s="417">
        <f>IFERROR(HLOOKUP(AG$7,Inputs!$H$129:$AJ$133,5),0)</f>
        <v>321.29369620709616</v>
      </c>
      <c r="AH35" s="417">
        <f>IFERROR(HLOOKUP(AH$7,Inputs!$H$129:$AJ$133,5),0)</f>
        <v>325.77165712984316</v>
      </c>
      <c r="AI35" s="417">
        <f>IFERROR(HLOOKUP(AI$7,Inputs!$H$129:$AJ$133,5),0)</f>
        <v>331.36910828327689</v>
      </c>
      <c r="AJ35" s="417">
        <f>IFERROR(HLOOKUP(AJ$7,Inputs!$H$129:$AJ$133,5),0)</f>
        <v>335.84706920602389</v>
      </c>
      <c r="AK35" s="417">
        <f>IFERROR(HLOOKUP(AK$7,Inputs!$H$129:$AJ$133,5),0)</f>
        <v>340.32503012877083</v>
      </c>
      <c r="AL35" s="417">
        <f>IFERROR(HLOOKUP(AL$7,Inputs!$H$129:$AJ$133,5),0)</f>
        <v>344.80299105151784</v>
      </c>
      <c r="AM35" s="417">
        <f>IFERROR(HLOOKUP(AM$7,Inputs!$H$129:$AJ$133,5),0)</f>
        <v>344.80299105151784</v>
      </c>
      <c r="AN35" s="417">
        <f>IFERROR(HLOOKUP(AN$7,Inputs!$H$129:$AJ$133,5),0)</f>
        <v>344.80299105151784</v>
      </c>
      <c r="AO35" s="417">
        <f>IFERROR(HLOOKUP(AO$7,Inputs!$H$129:$AJ$133,5),0)</f>
        <v>344.80299105151784</v>
      </c>
      <c r="AP35" s="417">
        <f>IFERROR(HLOOKUP(AP$7,Inputs!$H$129:$AJ$133,5),0)</f>
        <v>344.80299105151784</v>
      </c>
      <c r="AQ35" s="417">
        <f>IFERROR(HLOOKUP(AQ$7,Inputs!$H$129:$AJ$133,5),0)</f>
        <v>344.80299105151784</v>
      </c>
      <c r="AR35" s="417">
        <f>IFERROR(HLOOKUP(AR$7,Inputs!$H$129:$AJ$133,5),0)</f>
        <v>344.80299105151784</v>
      </c>
    </row>
    <row r="36" spans="1:44" ht="15" x14ac:dyDescent="0.25">
      <c r="A36" s="2"/>
      <c r="B36" s="380" t="s">
        <v>329</v>
      </c>
      <c r="C36" s="11" t="s">
        <v>331</v>
      </c>
      <c r="D36" s="417">
        <f>SUM(F36:AR36)</f>
        <v>155833.48293690744</v>
      </c>
      <c r="E36" s="380"/>
      <c r="F36" s="417">
        <f t="shared" ref="F36:J36" si="16">F32*F35</f>
        <v>0</v>
      </c>
      <c r="G36" s="417">
        <f t="shared" si="16"/>
        <v>0</v>
      </c>
      <c r="H36" s="417">
        <f t="shared" si="16"/>
        <v>0</v>
      </c>
      <c r="I36" s="417">
        <f t="shared" si="16"/>
        <v>0</v>
      </c>
      <c r="J36" s="417">
        <f t="shared" si="16"/>
        <v>0</v>
      </c>
      <c r="K36" s="417">
        <f>K32*K35</f>
        <v>1672.354679199761</v>
      </c>
      <c r="L36" s="417">
        <f t="shared" ref="L36:AR36" si="17">L32*L35</f>
        <v>1812.2632019789064</v>
      </c>
      <c r="M36" s="417">
        <f t="shared" si="17"/>
        <v>1956.2916191641882</v>
      </c>
      <c r="N36" s="417">
        <f t="shared" si="17"/>
        <v>2094.6971532984044</v>
      </c>
      <c r="O36" s="417">
        <f t="shared" si="17"/>
        <v>2246.450372495191</v>
      </c>
      <c r="P36" s="417">
        <f t="shared" si="17"/>
        <v>2402.3234860981142</v>
      </c>
      <c r="Q36" s="417">
        <f t="shared" si="17"/>
        <v>2551.0287562476715</v>
      </c>
      <c r="R36" s="417">
        <f t="shared" si="17"/>
        <v>2714.6266718621005</v>
      </c>
      <c r="S36" s="417">
        <f t="shared" si="17"/>
        <v>2882.3444818826651</v>
      </c>
      <c r="T36" s="417">
        <f t="shared" si="17"/>
        <v>3041.3494880475623</v>
      </c>
      <c r="U36" s="417">
        <f t="shared" si="17"/>
        <v>3216.7921000796332</v>
      </c>
      <c r="V36" s="417">
        <f t="shared" si="17"/>
        <v>3396.3546065178402</v>
      </c>
      <c r="W36" s="417">
        <f t="shared" si="17"/>
        <v>3565.6593486980792</v>
      </c>
      <c r="X36" s="417">
        <f t="shared" si="17"/>
        <v>3752.9466571477901</v>
      </c>
      <c r="Y36" s="417">
        <f t="shared" si="17"/>
        <v>3944.3538600036395</v>
      </c>
      <c r="Z36" s="417">
        <f t="shared" si="17"/>
        <v>4123.9583381992188</v>
      </c>
      <c r="AA36" s="417">
        <f t="shared" si="17"/>
        <v>4323.090343066573</v>
      </c>
      <c r="AB36" s="417">
        <f t="shared" si="17"/>
        <v>4526.3422423400643</v>
      </c>
      <c r="AC36" s="417">
        <f t="shared" si="17"/>
        <v>4733.71403601969</v>
      </c>
      <c r="AD36" s="417">
        <f t="shared" si="17"/>
        <v>4945.2057241054536</v>
      </c>
      <c r="AE36" s="417">
        <f t="shared" si="17"/>
        <v>5160.8173065973533</v>
      </c>
      <c r="AF36" s="417">
        <f t="shared" si="17"/>
        <v>5380.5487834953874</v>
      </c>
      <c r="AG36" s="417">
        <f t="shared" si="17"/>
        <v>5604.4001547995595</v>
      </c>
      <c r="AH36" s="417">
        <f t="shared" si="17"/>
        <v>5832.3714205098677</v>
      </c>
      <c r="AI36" s="417">
        <f t="shared" si="17"/>
        <v>6085.0200808996224</v>
      </c>
      <c r="AJ36" s="417">
        <f t="shared" si="17"/>
        <v>6321.7461222229704</v>
      </c>
      <c r="AK36" s="417">
        <f t="shared" si="17"/>
        <v>6562.5920579524536</v>
      </c>
      <c r="AL36" s="417">
        <f t="shared" si="17"/>
        <v>6807.5578880880739</v>
      </c>
      <c r="AM36" s="417">
        <f t="shared" si="17"/>
        <v>6966.1738227243204</v>
      </c>
      <c r="AN36" s="417">
        <f t="shared" si="17"/>
        <v>7124.7897573605651</v>
      </c>
      <c r="AO36" s="417">
        <f t="shared" si="17"/>
        <v>7283.4056919968107</v>
      </c>
      <c r="AP36" s="417">
        <f t="shared" si="17"/>
        <v>7442.0216266330572</v>
      </c>
      <c r="AQ36" s="417">
        <f t="shared" si="17"/>
        <v>7600.6375612693018</v>
      </c>
      <c r="AR36" s="417">
        <f t="shared" si="17"/>
        <v>7759.2534959055474</v>
      </c>
    </row>
    <row r="37" spans="1:44" ht="15" x14ac:dyDescent="0.25">
      <c r="A37" s="2"/>
      <c r="B37" s="380"/>
      <c r="C37" s="11"/>
      <c r="D37" s="459"/>
      <c r="E37" s="380"/>
      <c r="F37" s="417"/>
      <c r="G37" s="417"/>
      <c r="H37" s="417"/>
      <c r="I37" s="417"/>
      <c r="J37" s="417"/>
      <c r="K37" s="417"/>
      <c r="L37" s="417"/>
      <c r="M37" s="417"/>
      <c r="N37" s="417"/>
      <c r="O37" s="417"/>
      <c r="P37" s="417"/>
      <c r="Q37" s="417"/>
      <c r="R37" s="417"/>
      <c r="S37" s="417"/>
      <c r="T37" s="417"/>
      <c r="U37" s="417"/>
      <c r="V37" s="417"/>
      <c r="W37" s="417"/>
      <c r="X37" s="417"/>
      <c r="Y37" s="417"/>
      <c r="Z37" s="417"/>
      <c r="AA37" s="417"/>
      <c r="AB37" s="417"/>
      <c r="AC37" s="417"/>
      <c r="AD37" s="417"/>
      <c r="AE37" s="417"/>
      <c r="AF37" s="417"/>
      <c r="AG37" s="417"/>
      <c r="AH37" s="417"/>
      <c r="AI37" s="417"/>
      <c r="AJ37" s="417"/>
      <c r="AK37" s="417"/>
      <c r="AL37" s="417"/>
      <c r="AM37" s="417"/>
      <c r="AN37" s="417"/>
      <c r="AO37" s="417"/>
      <c r="AP37" s="417"/>
      <c r="AQ37" s="417"/>
      <c r="AR37" s="417"/>
    </row>
    <row r="38" spans="1:44" ht="15" x14ac:dyDescent="0.25">
      <c r="A38" s="2" t="s">
        <v>174</v>
      </c>
      <c r="B38" s="380"/>
      <c r="C38" s="11"/>
      <c r="D38" s="459"/>
      <c r="E38" s="380"/>
      <c r="F38" s="417"/>
      <c r="G38" s="417"/>
      <c r="H38" s="417"/>
      <c r="I38" s="417"/>
      <c r="J38" s="417"/>
      <c r="K38" s="417"/>
      <c r="L38" s="417"/>
      <c r="M38" s="417"/>
      <c r="N38" s="417"/>
      <c r="O38" s="417"/>
      <c r="P38" s="417"/>
      <c r="Q38" s="417"/>
      <c r="R38" s="417"/>
      <c r="S38" s="417"/>
      <c r="T38" s="417"/>
      <c r="U38" s="417"/>
      <c r="V38" s="417"/>
      <c r="W38" s="417"/>
      <c r="X38" s="417"/>
      <c r="Y38" s="417"/>
      <c r="Z38" s="417"/>
      <c r="AA38" s="417"/>
      <c r="AB38" s="417"/>
      <c r="AC38" s="417"/>
      <c r="AD38" s="417"/>
      <c r="AE38" s="417"/>
      <c r="AF38" s="417"/>
      <c r="AG38" s="417"/>
      <c r="AH38" s="417"/>
      <c r="AI38" s="417"/>
      <c r="AJ38" s="417"/>
      <c r="AK38" s="417"/>
      <c r="AL38" s="417"/>
      <c r="AM38" s="417"/>
      <c r="AN38" s="417"/>
      <c r="AO38" s="417"/>
      <c r="AP38" s="417"/>
      <c r="AQ38" s="417"/>
      <c r="AR38" s="417"/>
    </row>
    <row r="39" spans="1:44" ht="15" x14ac:dyDescent="0.25">
      <c r="A39" s="380"/>
      <c r="B39" s="2" t="s">
        <v>169</v>
      </c>
      <c r="C39" s="52"/>
      <c r="D39" s="440"/>
      <c r="E39" s="380"/>
      <c r="F39" s="417"/>
      <c r="G39" s="417"/>
      <c r="H39" s="417"/>
      <c r="I39" s="417"/>
      <c r="J39" s="417"/>
      <c r="K39" s="417"/>
      <c r="L39" s="417"/>
      <c r="M39" s="417"/>
      <c r="N39" s="417"/>
      <c r="O39" s="417"/>
      <c r="P39" s="417"/>
      <c r="Q39" s="417"/>
      <c r="R39" s="417"/>
      <c r="S39" s="417"/>
      <c r="T39" s="417"/>
      <c r="U39" s="417"/>
      <c r="V39" s="417"/>
      <c r="W39" s="417"/>
      <c r="X39" s="417"/>
      <c r="Y39" s="417"/>
      <c r="Z39" s="417"/>
      <c r="AA39" s="417"/>
      <c r="AB39" s="417"/>
      <c r="AC39" s="417"/>
      <c r="AD39" s="417"/>
      <c r="AE39" s="417"/>
      <c r="AF39" s="417"/>
      <c r="AG39" s="417"/>
      <c r="AH39" s="417"/>
      <c r="AI39" s="417"/>
      <c r="AJ39" s="417"/>
      <c r="AK39" s="417"/>
      <c r="AL39" s="417"/>
      <c r="AM39" s="417"/>
      <c r="AN39" s="417"/>
      <c r="AO39" s="417"/>
      <c r="AP39" s="417"/>
      <c r="AQ39" s="417"/>
      <c r="AR39" s="417"/>
    </row>
    <row r="40" spans="1:44" x14ac:dyDescent="0.2">
      <c r="A40" s="380"/>
      <c r="B40" s="380" t="s">
        <v>175</v>
      </c>
      <c r="C40" s="52" t="s">
        <v>172</v>
      </c>
      <c r="D40" s="432">
        <f>Inputs!E113</f>
        <v>3.9000000000000004</v>
      </c>
      <c r="E40" s="380"/>
      <c r="F40" s="458">
        <f t="shared" ref="F40:AR40" si="18">IF(F$7=$D$41,$D$40,0)</f>
        <v>0</v>
      </c>
      <c r="G40" s="458">
        <f t="shared" si="18"/>
        <v>0</v>
      </c>
      <c r="H40" s="458">
        <f t="shared" si="18"/>
        <v>0</v>
      </c>
      <c r="I40" s="458">
        <f t="shared" si="18"/>
        <v>0</v>
      </c>
      <c r="J40" s="458">
        <f t="shared" si="18"/>
        <v>0</v>
      </c>
      <c r="K40" s="458">
        <f t="shared" si="18"/>
        <v>3.9000000000000004</v>
      </c>
      <c r="L40" s="458">
        <f t="shared" si="18"/>
        <v>0</v>
      </c>
      <c r="M40" s="458">
        <f t="shared" si="18"/>
        <v>0</v>
      </c>
      <c r="N40" s="458">
        <f t="shared" si="18"/>
        <v>0</v>
      </c>
      <c r="O40" s="458">
        <f t="shared" si="18"/>
        <v>0</v>
      </c>
      <c r="P40" s="458">
        <f t="shared" si="18"/>
        <v>0</v>
      </c>
      <c r="Q40" s="458">
        <f t="shared" si="18"/>
        <v>0</v>
      </c>
      <c r="R40" s="458">
        <f t="shared" si="18"/>
        <v>0</v>
      </c>
      <c r="S40" s="458">
        <f t="shared" si="18"/>
        <v>0</v>
      </c>
      <c r="T40" s="458">
        <f t="shared" si="18"/>
        <v>0</v>
      </c>
      <c r="U40" s="458">
        <f t="shared" si="18"/>
        <v>0</v>
      </c>
      <c r="V40" s="458">
        <f t="shared" si="18"/>
        <v>0</v>
      </c>
      <c r="W40" s="458">
        <f t="shared" si="18"/>
        <v>0</v>
      </c>
      <c r="X40" s="458">
        <f t="shared" si="18"/>
        <v>0</v>
      </c>
      <c r="Y40" s="458">
        <f t="shared" si="18"/>
        <v>0</v>
      </c>
      <c r="Z40" s="458">
        <f t="shared" si="18"/>
        <v>0</v>
      </c>
      <c r="AA40" s="458">
        <f t="shared" si="18"/>
        <v>0</v>
      </c>
      <c r="AB40" s="458">
        <f t="shared" si="18"/>
        <v>0</v>
      </c>
      <c r="AC40" s="458">
        <f t="shared" si="18"/>
        <v>0</v>
      </c>
      <c r="AD40" s="458">
        <f t="shared" si="18"/>
        <v>0</v>
      </c>
      <c r="AE40" s="458">
        <f t="shared" si="18"/>
        <v>0</v>
      </c>
      <c r="AF40" s="458">
        <f t="shared" si="18"/>
        <v>0</v>
      </c>
      <c r="AG40" s="458">
        <f t="shared" si="18"/>
        <v>0</v>
      </c>
      <c r="AH40" s="458">
        <f t="shared" si="18"/>
        <v>0</v>
      </c>
      <c r="AI40" s="458">
        <f t="shared" si="18"/>
        <v>0</v>
      </c>
      <c r="AJ40" s="458">
        <f t="shared" si="18"/>
        <v>0</v>
      </c>
      <c r="AK40" s="458">
        <f t="shared" si="18"/>
        <v>0</v>
      </c>
      <c r="AL40" s="458">
        <f t="shared" si="18"/>
        <v>0</v>
      </c>
      <c r="AM40" s="458">
        <f t="shared" si="18"/>
        <v>0</v>
      </c>
      <c r="AN40" s="458">
        <f t="shared" si="18"/>
        <v>0</v>
      </c>
      <c r="AO40" s="458">
        <f t="shared" si="18"/>
        <v>0</v>
      </c>
      <c r="AP40" s="458">
        <f t="shared" si="18"/>
        <v>0</v>
      </c>
      <c r="AQ40" s="458">
        <f t="shared" si="18"/>
        <v>0</v>
      </c>
      <c r="AR40" s="458">
        <f t="shared" si="18"/>
        <v>0</v>
      </c>
    </row>
    <row r="41" spans="1:44" x14ac:dyDescent="0.2">
      <c r="A41" s="380"/>
      <c r="B41" s="380" t="s">
        <v>171</v>
      </c>
      <c r="C41" s="52" t="s">
        <v>120</v>
      </c>
      <c r="D41" s="428">
        <f>Inputs!E114</f>
        <v>2023</v>
      </c>
      <c r="E41" s="380"/>
      <c r="F41" s="417"/>
      <c r="G41" s="417"/>
      <c r="H41" s="417"/>
      <c r="I41" s="417"/>
      <c r="J41" s="417"/>
      <c r="K41" s="417"/>
      <c r="L41" s="417"/>
      <c r="M41" s="417"/>
      <c r="N41" s="417"/>
      <c r="O41" s="417"/>
      <c r="P41" s="417"/>
      <c r="Q41" s="417"/>
      <c r="R41" s="417"/>
      <c r="S41" s="417"/>
      <c r="T41" s="417"/>
      <c r="U41" s="417"/>
      <c r="V41" s="417"/>
      <c r="W41" s="417"/>
      <c r="X41" s="417"/>
      <c r="Y41" s="417"/>
      <c r="Z41" s="417"/>
      <c r="AA41" s="417"/>
      <c r="AB41" s="417"/>
      <c r="AC41" s="417"/>
      <c r="AD41" s="417"/>
      <c r="AE41" s="417"/>
      <c r="AF41" s="417"/>
      <c r="AG41" s="417"/>
      <c r="AH41" s="417"/>
      <c r="AI41" s="417"/>
      <c r="AJ41" s="417"/>
      <c r="AK41" s="417"/>
      <c r="AL41" s="417"/>
      <c r="AM41" s="417"/>
      <c r="AN41" s="417"/>
      <c r="AO41" s="417"/>
      <c r="AP41" s="417"/>
      <c r="AQ41" s="417"/>
      <c r="AR41" s="417"/>
    </row>
    <row r="42" spans="1:44" x14ac:dyDescent="0.2">
      <c r="A42" s="380"/>
      <c r="B42" s="380" t="s">
        <v>173</v>
      </c>
      <c r="C42" s="52" t="s">
        <v>172</v>
      </c>
      <c r="D42" s="432">
        <f>Inputs!E115</f>
        <v>9.5375000000000014</v>
      </c>
      <c r="E42" s="380"/>
      <c r="F42" s="417"/>
      <c r="G42" s="417"/>
      <c r="H42" s="417"/>
      <c r="I42" s="417"/>
      <c r="J42" s="417"/>
      <c r="K42" s="417"/>
      <c r="L42" s="417"/>
      <c r="M42" s="417"/>
      <c r="N42" s="417"/>
      <c r="O42" s="417"/>
      <c r="P42" s="417"/>
      <c r="Q42" s="417"/>
      <c r="R42" s="417"/>
      <c r="S42" s="417"/>
      <c r="T42" s="417"/>
      <c r="U42" s="417"/>
      <c r="V42" s="417"/>
      <c r="W42" s="417"/>
      <c r="X42" s="417"/>
      <c r="Y42" s="417"/>
      <c r="Z42" s="417"/>
      <c r="AA42" s="417"/>
      <c r="AB42" s="417"/>
      <c r="AC42" s="417"/>
      <c r="AD42" s="417"/>
      <c r="AE42" s="417"/>
      <c r="AF42" s="417"/>
      <c r="AG42" s="417"/>
      <c r="AH42" s="417"/>
      <c r="AI42" s="417"/>
      <c r="AJ42" s="417"/>
      <c r="AK42" s="417"/>
      <c r="AL42" s="417"/>
      <c r="AM42" s="417"/>
      <c r="AN42" s="417"/>
      <c r="AO42" s="417"/>
      <c r="AP42" s="417"/>
      <c r="AQ42" s="417"/>
      <c r="AR42" s="417"/>
    </row>
    <row r="43" spans="1:44" x14ac:dyDescent="0.2">
      <c r="A43" s="380"/>
      <c r="B43" s="380" t="s">
        <v>173</v>
      </c>
      <c r="C43" s="52" t="s">
        <v>120</v>
      </c>
      <c r="D43" s="428">
        <f>Inputs!E116</f>
        <v>2046</v>
      </c>
      <c r="E43" s="380"/>
      <c r="F43" s="417"/>
      <c r="G43" s="417"/>
      <c r="H43" s="417"/>
      <c r="I43" s="417"/>
      <c r="J43" s="417"/>
      <c r="K43" s="417"/>
      <c r="L43" s="417"/>
      <c r="M43" s="417"/>
      <c r="N43" s="417"/>
      <c r="O43" s="417"/>
      <c r="P43" s="417"/>
      <c r="Q43" s="417"/>
      <c r="R43" s="417"/>
      <c r="S43" s="417"/>
      <c r="T43" s="417"/>
      <c r="U43" s="417"/>
      <c r="V43" s="417"/>
      <c r="W43" s="417"/>
      <c r="X43" s="417"/>
      <c r="Y43" s="417"/>
      <c r="Z43" s="417"/>
      <c r="AA43" s="417"/>
      <c r="AB43" s="417"/>
      <c r="AC43" s="417"/>
      <c r="AD43" s="417"/>
      <c r="AE43" s="417"/>
      <c r="AF43" s="417"/>
      <c r="AG43" s="417"/>
      <c r="AH43" s="417"/>
      <c r="AI43" s="417"/>
      <c r="AJ43" s="417"/>
      <c r="AK43" s="417"/>
      <c r="AL43" s="417"/>
      <c r="AM43" s="417"/>
      <c r="AN43" s="417"/>
      <c r="AO43" s="417"/>
      <c r="AP43" s="417"/>
      <c r="AQ43" s="417"/>
      <c r="AR43" s="417"/>
    </row>
    <row r="44" spans="1:44" x14ac:dyDescent="0.2">
      <c r="A44" s="380"/>
      <c r="B44" s="380" t="s">
        <v>301</v>
      </c>
      <c r="C44" s="52" t="s">
        <v>172</v>
      </c>
      <c r="D44" s="459">
        <f>(D42-D40)/(D43-D41)</f>
        <v>0.24510869565217397</v>
      </c>
      <c r="E44" s="380"/>
      <c r="F44" s="417"/>
      <c r="G44" s="417"/>
      <c r="H44" s="417"/>
      <c r="I44" s="417"/>
      <c r="J44" s="417"/>
      <c r="K44" s="417"/>
      <c r="L44" s="417"/>
      <c r="M44" s="417"/>
      <c r="N44" s="417"/>
      <c r="O44" s="417"/>
      <c r="P44" s="417"/>
      <c r="Q44" s="417"/>
      <c r="R44" s="417"/>
      <c r="S44" s="417"/>
      <c r="T44" s="417"/>
      <c r="U44" s="417"/>
      <c r="V44" s="417"/>
      <c r="W44" s="417"/>
      <c r="X44" s="417"/>
      <c r="Y44" s="417"/>
      <c r="Z44" s="417"/>
      <c r="AA44" s="417"/>
      <c r="AB44" s="417"/>
      <c r="AC44" s="417"/>
      <c r="AD44" s="417"/>
      <c r="AE44" s="417"/>
      <c r="AF44" s="417"/>
      <c r="AG44" s="417"/>
      <c r="AH44" s="417"/>
      <c r="AI44" s="417"/>
      <c r="AJ44" s="417"/>
      <c r="AK44" s="417"/>
      <c r="AL44" s="417"/>
      <c r="AM44" s="417"/>
      <c r="AN44" s="417"/>
      <c r="AO44" s="417"/>
      <c r="AP44" s="417"/>
      <c r="AQ44" s="417"/>
      <c r="AR44" s="417"/>
    </row>
    <row r="45" spans="1:44" x14ac:dyDescent="0.2">
      <c r="A45" s="380"/>
      <c r="B45" s="380" t="s">
        <v>302</v>
      </c>
      <c r="C45" s="52" t="s">
        <v>106</v>
      </c>
      <c r="D45" s="453"/>
      <c r="E45" s="380"/>
      <c r="F45" s="417">
        <f t="shared" ref="F45:AR45" si="19">IF(F$7&gt;$D$41,1,0)</f>
        <v>0</v>
      </c>
      <c r="G45" s="417">
        <f t="shared" si="19"/>
        <v>0</v>
      </c>
      <c r="H45" s="417">
        <f t="shared" si="19"/>
        <v>0</v>
      </c>
      <c r="I45" s="417">
        <f t="shared" si="19"/>
        <v>0</v>
      </c>
      <c r="J45" s="417">
        <f t="shared" si="19"/>
        <v>0</v>
      </c>
      <c r="K45" s="417">
        <f t="shared" si="19"/>
        <v>0</v>
      </c>
      <c r="L45" s="417">
        <f t="shared" si="19"/>
        <v>1</v>
      </c>
      <c r="M45" s="417">
        <f t="shared" si="19"/>
        <v>1</v>
      </c>
      <c r="N45" s="417">
        <f t="shared" si="19"/>
        <v>1</v>
      </c>
      <c r="O45" s="417">
        <f t="shared" si="19"/>
        <v>1</v>
      </c>
      <c r="P45" s="417">
        <f t="shared" si="19"/>
        <v>1</v>
      </c>
      <c r="Q45" s="417">
        <f t="shared" si="19"/>
        <v>1</v>
      </c>
      <c r="R45" s="417">
        <f t="shared" si="19"/>
        <v>1</v>
      </c>
      <c r="S45" s="417">
        <f t="shared" si="19"/>
        <v>1</v>
      </c>
      <c r="T45" s="417">
        <f t="shared" si="19"/>
        <v>1</v>
      </c>
      <c r="U45" s="417">
        <f t="shared" si="19"/>
        <v>1</v>
      </c>
      <c r="V45" s="417">
        <f t="shared" si="19"/>
        <v>1</v>
      </c>
      <c r="W45" s="417">
        <f t="shared" si="19"/>
        <v>1</v>
      </c>
      <c r="X45" s="417">
        <f t="shared" si="19"/>
        <v>1</v>
      </c>
      <c r="Y45" s="417">
        <f t="shared" si="19"/>
        <v>1</v>
      </c>
      <c r="Z45" s="417">
        <f t="shared" si="19"/>
        <v>1</v>
      </c>
      <c r="AA45" s="417">
        <f t="shared" si="19"/>
        <v>1</v>
      </c>
      <c r="AB45" s="417">
        <f t="shared" si="19"/>
        <v>1</v>
      </c>
      <c r="AC45" s="417">
        <f t="shared" si="19"/>
        <v>1</v>
      </c>
      <c r="AD45" s="417">
        <f t="shared" si="19"/>
        <v>1</v>
      </c>
      <c r="AE45" s="417">
        <f t="shared" si="19"/>
        <v>1</v>
      </c>
      <c r="AF45" s="417">
        <f t="shared" si="19"/>
        <v>1</v>
      </c>
      <c r="AG45" s="417">
        <f t="shared" si="19"/>
        <v>1</v>
      </c>
      <c r="AH45" s="417">
        <f t="shared" si="19"/>
        <v>1</v>
      </c>
      <c r="AI45" s="417">
        <f t="shared" si="19"/>
        <v>1</v>
      </c>
      <c r="AJ45" s="417">
        <f t="shared" si="19"/>
        <v>1</v>
      </c>
      <c r="AK45" s="417">
        <f t="shared" si="19"/>
        <v>1</v>
      </c>
      <c r="AL45" s="417">
        <f t="shared" si="19"/>
        <v>1</v>
      </c>
      <c r="AM45" s="417">
        <f t="shared" si="19"/>
        <v>1</v>
      </c>
      <c r="AN45" s="417">
        <f t="shared" si="19"/>
        <v>1</v>
      </c>
      <c r="AO45" s="417">
        <f t="shared" si="19"/>
        <v>1</v>
      </c>
      <c r="AP45" s="417">
        <f t="shared" si="19"/>
        <v>1</v>
      </c>
      <c r="AQ45" s="417">
        <f t="shared" si="19"/>
        <v>1</v>
      </c>
      <c r="AR45" s="417">
        <f t="shared" si="19"/>
        <v>1</v>
      </c>
    </row>
    <row r="46" spans="1:44" ht="15" x14ac:dyDescent="0.25">
      <c r="A46" s="2"/>
      <c r="B46" s="380" t="s">
        <v>323</v>
      </c>
      <c r="C46" s="52" t="s">
        <v>172</v>
      </c>
      <c r="D46" s="432">
        <f>SUM(F46:AR46)</f>
        <v>270.10597826086973</v>
      </c>
      <c r="E46" s="380"/>
      <c r="F46" s="432">
        <f t="shared" ref="F46:J46" si="20">E46+F40+F45*$D$44</f>
        <v>0</v>
      </c>
      <c r="G46" s="432">
        <f t="shared" si="20"/>
        <v>0</v>
      </c>
      <c r="H46" s="432">
        <f t="shared" si="20"/>
        <v>0</v>
      </c>
      <c r="I46" s="432">
        <f t="shared" si="20"/>
        <v>0</v>
      </c>
      <c r="J46" s="432">
        <f t="shared" si="20"/>
        <v>0</v>
      </c>
      <c r="K46" s="432">
        <f>J46+K40+K45*$D$44</f>
        <v>3.9000000000000004</v>
      </c>
      <c r="L46" s="432">
        <f t="shared" ref="L46:AR46" si="21">K46+L40+L45*$D$44</f>
        <v>4.1451086956521745</v>
      </c>
      <c r="M46" s="432">
        <f t="shared" si="21"/>
        <v>4.3902173913043487</v>
      </c>
      <c r="N46" s="432">
        <f t="shared" si="21"/>
        <v>4.6353260869565229</v>
      </c>
      <c r="O46" s="432">
        <f t="shared" si="21"/>
        <v>4.8804347826086971</v>
      </c>
      <c r="P46" s="432">
        <f t="shared" si="21"/>
        <v>5.1255434782608713</v>
      </c>
      <c r="Q46" s="432">
        <f t="shared" si="21"/>
        <v>5.3706521739130455</v>
      </c>
      <c r="R46" s="432">
        <f t="shared" si="21"/>
        <v>5.6157608695652197</v>
      </c>
      <c r="S46" s="432">
        <f t="shared" si="21"/>
        <v>5.8608695652173939</v>
      </c>
      <c r="T46" s="432">
        <f t="shared" si="21"/>
        <v>6.1059782608695681</v>
      </c>
      <c r="U46" s="432">
        <f t="shared" si="21"/>
        <v>6.3510869565217423</v>
      </c>
      <c r="V46" s="432">
        <f t="shared" si="21"/>
        <v>6.5961956521739165</v>
      </c>
      <c r="W46" s="432">
        <f t="shared" si="21"/>
        <v>6.8413043478260906</v>
      </c>
      <c r="X46" s="432">
        <f t="shared" si="21"/>
        <v>7.0864130434782648</v>
      </c>
      <c r="Y46" s="432">
        <f t="shared" si="21"/>
        <v>7.331521739130439</v>
      </c>
      <c r="Z46" s="432">
        <f t="shared" si="21"/>
        <v>7.5766304347826132</v>
      </c>
      <c r="AA46" s="432">
        <f t="shared" si="21"/>
        <v>7.8217391304347874</v>
      </c>
      <c r="AB46" s="432">
        <f t="shared" si="21"/>
        <v>8.0668478260869616</v>
      </c>
      <c r="AC46" s="432">
        <f t="shared" si="21"/>
        <v>8.3119565217391358</v>
      </c>
      <c r="AD46" s="432">
        <f t="shared" si="21"/>
        <v>8.55706521739131</v>
      </c>
      <c r="AE46" s="432">
        <f t="shared" si="21"/>
        <v>8.8021739130434842</v>
      </c>
      <c r="AF46" s="432">
        <f t="shared" si="21"/>
        <v>9.0472826086956584</v>
      </c>
      <c r="AG46" s="432">
        <f t="shared" si="21"/>
        <v>9.2923913043478326</v>
      </c>
      <c r="AH46" s="432">
        <f t="shared" si="21"/>
        <v>9.5375000000000068</v>
      </c>
      <c r="AI46" s="432">
        <f t="shared" si="21"/>
        <v>9.7826086956521809</v>
      </c>
      <c r="AJ46" s="432">
        <f t="shared" si="21"/>
        <v>10.027717391304355</v>
      </c>
      <c r="AK46" s="432">
        <f t="shared" si="21"/>
        <v>10.272826086956529</v>
      </c>
      <c r="AL46" s="432">
        <f t="shared" si="21"/>
        <v>10.517934782608704</v>
      </c>
      <c r="AM46" s="432">
        <f t="shared" si="21"/>
        <v>10.763043478260878</v>
      </c>
      <c r="AN46" s="432">
        <f t="shared" si="21"/>
        <v>11.008152173913052</v>
      </c>
      <c r="AO46" s="432">
        <f t="shared" si="21"/>
        <v>11.253260869565226</v>
      </c>
      <c r="AP46" s="432">
        <f t="shared" si="21"/>
        <v>11.4983695652174</v>
      </c>
      <c r="AQ46" s="432">
        <f t="shared" si="21"/>
        <v>11.743478260869574</v>
      </c>
      <c r="AR46" s="432">
        <f t="shared" si="21"/>
        <v>11.988586956521749</v>
      </c>
    </row>
    <row r="47" spans="1:44" ht="15" x14ac:dyDescent="0.25">
      <c r="A47" s="2"/>
      <c r="B47" s="380" t="s">
        <v>324</v>
      </c>
      <c r="C47" s="52" t="s">
        <v>325</v>
      </c>
      <c r="D47" s="432">
        <f>Inputs!$E$33</f>
        <v>1000</v>
      </c>
      <c r="E47" s="380"/>
      <c r="F47" s="432"/>
      <c r="G47" s="432"/>
      <c r="H47" s="432"/>
      <c r="I47" s="432"/>
      <c r="J47" s="432"/>
      <c r="K47" s="432"/>
      <c r="L47" s="432"/>
      <c r="M47" s="432"/>
      <c r="N47" s="432"/>
      <c r="O47" s="432"/>
      <c r="P47" s="432"/>
      <c r="Q47" s="432"/>
      <c r="R47" s="432"/>
      <c r="S47" s="432"/>
      <c r="T47" s="432"/>
      <c r="U47" s="432"/>
      <c r="V47" s="432"/>
      <c r="W47" s="432"/>
      <c r="X47" s="432"/>
      <c r="Y47" s="432"/>
      <c r="Z47" s="432"/>
      <c r="AA47" s="432"/>
      <c r="AB47" s="432"/>
      <c r="AC47" s="432"/>
      <c r="AD47" s="432"/>
      <c r="AE47" s="432"/>
      <c r="AF47" s="432"/>
      <c r="AG47" s="432"/>
      <c r="AH47" s="432"/>
      <c r="AI47" s="432"/>
      <c r="AJ47" s="432"/>
      <c r="AK47" s="432"/>
      <c r="AL47" s="432"/>
      <c r="AM47" s="432"/>
      <c r="AN47" s="432"/>
      <c r="AO47" s="432"/>
      <c r="AP47" s="432"/>
      <c r="AQ47" s="432"/>
      <c r="AR47" s="432"/>
    </row>
    <row r="48" spans="1:44" ht="15" x14ac:dyDescent="0.25">
      <c r="A48" s="2"/>
      <c r="B48" s="380" t="s">
        <v>326</v>
      </c>
      <c r="C48" s="52" t="s">
        <v>327</v>
      </c>
      <c r="D48" s="432">
        <f>Inputs!$E$32</f>
        <v>365</v>
      </c>
      <c r="E48" s="380"/>
      <c r="F48" s="432"/>
      <c r="G48" s="432"/>
      <c r="H48" s="432"/>
      <c r="I48" s="432"/>
      <c r="J48" s="432"/>
      <c r="K48" s="432"/>
      <c r="L48" s="432"/>
      <c r="M48" s="432"/>
      <c r="N48" s="432"/>
      <c r="O48" s="432"/>
      <c r="P48" s="432"/>
      <c r="Q48" s="432"/>
      <c r="R48" s="432"/>
      <c r="S48" s="432"/>
      <c r="T48" s="432"/>
      <c r="U48" s="432"/>
      <c r="V48" s="432"/>
      <c r="W48" s="432"/>
      <c r="X48" s="432"/>
      <c r="Y48" s="432"/>
      <c r="Z48" s="432"/>
      <c r="AA48" s="432"/>
      <c r="AB48" s="432"/>
      <c r="AC48" s="432"/>
      <c r="AD48" s="432"/>
      <c r="AE48" s="432"/>
      <c r="AF48" s="432"/>
      <c r="AG48" s="432"/>
      <c r="AH48" s="432"/>
      <c r="AI48" s="432"/>
      <c r="AJ48" s="432"/>
      <c r="AK48" s="432"/>
      <c r="AL48" s="432"/>
      <c r="AM48" s="432"/>
      <c r="AN48" s="432"/>
      <c r="AO48" s="432"/>
      <c r="AP48" s="432"/>
      <c r="AQ48" s="432"/>
      <c r="AR48" s="432"/>
    </row>
    <row r="49" spans="1:44" ht="15" x14ac:dyDescent="0.25">
      <c r="A49" s="2"/>
      <c r="B49" s="380" t="s">
        <v>323</v>
      </c>
      <c r="C49" s="52" t="s">
        <v>328</v>
      </c>
      <c r="D49" s="432">
        <f>SUM(F49:AR49)</f>
        <v>98.588682065217455</v>
      </c>
      <c r="E49" s="380"/>
      <c r="F49" s="432">
        <f t="shared" ref="F49:J49" si="22">F46*$D$48/$D$47</f>
        <v>0</v>
      </c>
      <c r="G49" s="432">
        <f t="shared" si="22"/>
        <v>0</v>
      </c>
      <c r="H49" s="432">
        <f t="shared" si="22"/>
        <v>0</v>
      </c>
      <c r="I49" s="432">
        <f t="shared" si="22"/>
        <v>0</v>
      </c>
      <c r="J49" s="432">
        <f t="shared" si="22"/>
        <v>0</v>
      </c>
      <c r="K49" s="432">
        <f>K46*$D$48/$D$47</f>
        <v>1.4235000000000002</v>
      </c>
      <c r="L49" s="432">
        <f t="shared" ref="L49:AR49" si="23">L46*$D$48/$D$47</f>
        <v>1.5129646739130438</v>
      </c>
      <c r="M49" s="432">
        <f t="shared" si="23"/>
        <v>1.6024293478260871</v>
      </c>
      <c r="N49" s="432">
        <f t="shared" si="23"/>
        <v>1.6918940217391309</v>
      </c>
      <c r="O49" s="432">
        <f t="shared" si="23"/>
        <v>1.7813586956521745</v>
      </c>
      <c r="P49" s="432">
        <f t="shared" si="23"/>
        <v>1.8708233695652179</v>
      </c>
      <c r="Q49" s="432">
        <f t="shared" si="23"/>
        <v>1.9602880434782617</v>
      </c>
      <c r="R49" s="432">
        <f t="shared" si="23"/>
        <v>2.0497527173913053</v>
      </c>
      <c r="S49" s="432">
        <f t="shared" si="23"/>
        <v>2.1392173913043488</v>
      </c>
      <c r="T49" s="432">
        <f t="shared" si="23"/>
        <v>2.2286820652173924</v>
      </c>
      <c r="U49" s="432">
        <f t="shared" si="23"/>
        <v>2.318146739130436</v>
      </c>
      <c r="V49" s="432">
        <f t="shared" si="23"/>
        <v>2.4076114130434796</v>
      </c>
      <c r="W49" s="432">
        <f t="shared" si="23"/>
        <v>2.4970760869565227</v>
      </c>
      <c r="X49" s="432">
        <f t="shared" si="23"/>
        <v>2.5865407608695667</v>
      </c>
      <c r="Y49" s="432">
        <f t="shared" si="23"/>
        <v>2.6760054347826103</v>
      </c>
      <c r="Z49" s="432">
        <f t="shared" si="23"/>
        <v>2.7654701086956539</v>
      </c>
      <c r="AA49" s="432">
        <f t="shared" si="23"/>
        <v>2.8549347826086975</v>
      </c>
      <c r="AB49" s="432">
        <f t="shared" si="23"/>
        <v>2.9443994565217406</v>
      </c>
      <c r="AC49" s="432">
        <f t="shared" si="23"/>
        <v>3.0338641304347846</v>
      </c>
      <c r="AD49" s="432">
        <f t="shared" si="23"/>
        <v>3.1233288043478282</v>
      </c>
      <c r="AE49" s="432">
        <f t="shared" si="23"/>
        <v>3.2127934782608718</v>
      </c>
      <c r="AF49" s="432">
        <f t="shared" si="23"/>
        <v>3.3022581521739154</v>
      </c>
      <c r="AG49" s="432">
        <f t="shared" si="23"/>
        <v>3.391722826086959</v>
      </c>
      <c r="AH49" s="432">
        <f t="shared" si="23"/>
        <v>3.4811875000000021</v>
      </c>
      <c r="AI49" s="432">
        <f t="shared" si="23"/>
        <v>3.5706521739130461</v>
      </c>
      <c r="AJ49" s="432">
        <f t="shared" si="23"/>
        <v>3.6601168478260897</v>
      </c>
      <c r="AK49" s="432">
        <f t="shared" si="23"/>
        <v>3.7495815217391333</v>
      </c>
      <c r="AL49" s="432">
        <f t="shared" si="23"/>
        <v>3.8390461956521769</v>
      </c>
      <c r="AM49" s="432">
        <f t="shared" si="23"/>
        <v>3.92851086956522</v>
      </c>
      <c r="AN49" s="432">
        <f t="shared" si="23"/>
        <v>4.017975543478264</v>
      </c>
      <c r="AO49" s="432">
        <f t="shared" si="23"/>
        <v>4.107440217391308</v>
      </c>
      <c r="AP49" s="432">
        <f t="shared" si="23"/>
        <v>4.1969048913043503</v>
      </c>
      <c r="AQ49" s="432">
        <f t="shared" si="23"/>
        <v>4.2863695652173943</v>
      </c>
      <c r="AR49" s="432">
        <f t="shared" si="23"/>
        <v>4.3758342391304383</v>
      </c>
    </row>
    <row r="50" spans="1:44" ht="15" x14ac:dyDescent="0.25">
      <c r="A50" s="2"/>
      <c r="B50" s="380"/>
      <c r="C50" s="52"/>
      <c r="D50" s="432"/>
      <c r="E50" s="380"/>
      <c r="F50" s="432"/>
      <c r="G50" s="432"/>
      <c r="H50" s="432"/>
      <c r="I50" s="432"/>
      <c r="J50" s="432"/>
      <c r="K50" s="432"/>
      <c r="L50" s="432"/>
      <c r="M50" s="432"/>
      <c r="N50" s="432"/>
      <c r="O50" s="432"/>
      <c r="P50" s="432"/>
      <c r="Q50" s="432"/>
      <c r="R50" s="432"/>
      <c r="S50" s="432"/>
      <c r="T50" s="432"/>
      <c r="U50" s="432"/>
      <c r="V50" s="432"/>
      <c r="W50" s="432"/>
      <c r="X50" s="432"/>
      <c r="Y50" s="432"/>
      <c r="Z50" s="432"/>
      <c r="AA50" s="432"/>
      <c r="AB50" s="432"/>
      <c r="AC50" s="432"/>
      <c r="AD50" s="432"/>
      <c r="AE50" s="432"/>
      <c r="AF50" s="432"/>
      <c r="AG50" s="432"/>
      <c r="AH50" s="432"/>
      <c r="AI50" s="432"/>
      <c r="AJ50" s="432"/>
      <c r="AK50" s="432"/>
      <c r="AL50" s="432"/>
      <c r="AM50" s="432"/>
      <c r="AN50" s="432"/>
      <c r="AO50" s="432"/>
      <c r="AP50" s="432"/>
      <c r="AQ50" s="432"/>
      <c r="AR50" s="432"/>
    </row>
    <row r="51" spans="1:44" ht="15" x14ac:dyDescent="0.25">
      <c r="A51" s="380"/>
      <c r="B51" s="2" t="s">
        <v>329</v>
      </c>
      <c r="C51" s="52"/>
      <c r="D51" s="432"/>
      <c r="E51" s="380"/>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7"/>
      <c r="AD51" s="417"/>
      <c r="AE51" s="417"/>
      <c r="AF51" s="417"/>
      <c r="AG51" s="417"/>
      <c r="AH51" s="417"/>
      <c r="AI51" s="417"/>
      <c r="AJ51" s="417"/>
      <c r="AK51" s="417"/>
      <c r="AL51" s="417"/>
      <c r="AM51" s="417"/>
      <c r="AN51" s="417"/>
      <c r="AO51" s="417"/>
      <c r="AP51" s="417"/>
      <c r="AQ51" s="417"/>
      <c r="AR51" s="417"/>
    </row>
    <row r="52" spans="1:44" x14ac:dyDescent="0.2">
      <c r="A52" s="380"/>
      <c r="B52" s="380" t="s">
        <v>330</v>
      </c>
      <c r="C52" s="52" t="s">
        <v>181</v>
      </c>
      <c r="D52" s="460">
        <f>Inputs!$E$78</f>
        <v>21.1</v>
      </c>
      <c r="E52" s="380"/>
      <c r="F52" s="417">
        <f>IFERROR(HLOOKUP(F$7,Inputs!$H$129:$AJ$133,2),0)</f>
        <v>0</v>
      </c>
      <c r="G52" s="417">
        <f>IFERROR(HLOOKUP(G$7,Inputs!$H$129:$AJ$133,2),0)</f>
        <v>0</v>
      </c>
      <c r="H52" s="417">
        <f>IFERROR(HLOOKUP(H$7,Inputs!$H$129:$AJ$133,2),0)</f>
        <v>0</v>
      </c>
      <c r="I52" s="417">
        <f>IFERROR(HLOOKUP(I$7,Inputs!$H$129:$AJ$133,2),0)</f>
        <v>0</v>
      </c>
      <c r="J52" s="417">
        <f>IFERROR(HLOOKUP(J$7,Inputs!$H$129:$AJ$133,2),0)</f>
        <v>0</v>
      </c>
      <c r="K52" s="417">
        <f>IFERROR(HLOOKUP(K$7,Inputs!$H$129:$AJ$133,2),0)</f>
        <v>19800</v>
      </c>
      <c r="L52" s="417">
        <f>IFERROR(HLOOKUP(L$7,Inputs!$H$129:$AJ$133,2),0)</f>
        <v>20100</v>
      </c>
      <c r="M52" s="417">
        <f>IFERROR(HLOOKUP(M$7,Inputs!$H$129:$AJ$133,2),0)</f>
        <v>20300</v>
      </c>
      <c r="N52" s="417">
        <f>IFERROR(HLOOKUP(N$7,Inputs!$H$129:$AJ$133,2),0)</f>
        <v>20600</v>
      </c>
      <c r="O52" s="417">
        <f>IFERROR(HLOOKUP(O$7,Inputs!$H$129:$AJ$133,2),0)</f>
        <v>21000</v>
      </c>
      <c r="P52" s="417">
        <f>IFERROR(HLOOKUP(P$7,Inputs!$H$129:$AJ$133,2),0)</f>
        <v>21300</v>
      </c>
      <c r="Q52" s="417">
        <f>IFERROR(HLOOKUP(Q$7,Inputs!$H$129:$AJ$133,2),0)</f>
        <v>21700</v>
      </c>
      <c r="R52" s="417">
        <f>IFERROR(HLOOKUP(R$7,Inputs!$H$129:$AJ$133,2),0)</f>
        <v>22000</v>
      </c>
      <c r="S52" s="417">
        <f>IFERROR(HLOOKUP(S$7,Inputs!$H$129:$AJ$133,2),0)</f>
        <v>22000</v>
      </c>
      <c r="T52" s="417">
        <f>IFERROR(HLOOKUP(T$7,Inputs!$H$129:$AJ$133,2),0)</f>
        <v>22000</v>
      </c>
      <c r="U52" s="417">
        <f>IFERROR(HLOOKUP(U$7,Inputs!$H$129:$AJ$133,2),0)</f>
        <v>22000</v>
      </c>
      <c r="V52" s="417">
        <f>IFERROR(HLOOKUP(V$7,Inputs!$H$129:$AJ$133,2),0)</f>
        <v>22000</v>
      </c>
      <c r="W52" s="417">
        <f>IFERROR(HLOOKUP(W$7,Inputs!$H$129:$AJ$133,2),0)</f>
        <v>22000</v>
      </c>
      <c r="X52" s="417">
        <f>IFERROR(HLOOKUP(X$7,Inputs!$H$129:$AJ$133,2),0)</f>
        <v>22000</v>
      </c>
      <c r="Y52" s="417">
        <f>IFERROR(HLOOKUP(Y$7,Inputs!$H$129:$AJ$133,2),0)</f>
        <v>22000</v>
      </c>
      <c r="Z52" s="417">
        <f>IFERROR(HLOOKUP(Z$7,Inputs!$H$129:$AJ$133,2),0)</f>
        <v>22000</v>
      </c>
      <c r="AA52" s="417">
        <f>IFERROR(HLOOKUP(AA$7,Inputs!$H$129:$AJ$133,2),0)</f>
        <v>22000</v>
      </c>
      <c r="AB52" s="417">
        <f>IFERROR(HLOOKUP(AB$7,Inputs!$H$129:$AJ$133,2),0)</f>
        <v>22000</v>
      </c>
      <c r="AC52" s="417">
        <f>IFERROR(HLOOKUP(AC$7,Inputs!$H$129:$AJ$133,2),0)</f>
        <v>22000</v>
      </c>
      <c r="AD52" s="417">
        <f>IFERROR(HLOOKUP(AD$7,Inputs!$H$129:$AJ$133,2),0)</f>
        <v>22000</v>
      </c>
      <c r="AE52" s="417">
        <f>IFERROR(HLOOKUP(AE$7,Inputs!$H$129:$AJ$133,2),0)</f>
        <v>22000</v>
      </c>
      <c r="AF52" s="417">
        <f>IFERROR(HLOOKUP(AF$7,Inputs!$H$129:$AJ$133,2),0)</f>
        <v>22000</v>
      </c>
      <c r="AG52" s="417">
        <f>IFERROR(HLOOKUP(AG$7,Inputs!$H$129:$AJ$133,2),0)</f>
        <v>22000</v>
      </c>
      <c r="AH52" s="417">
        <f>IFERROR(HLOOKUP(AH$7,Inputs!$H$129:$AJ$133,2),0)</f>
        <v>22000</v>
      </c>
      <c r="AI52" s="417">
        <f>IFERROR(HLOOKUP(AI$7,Inputs!$H$129:$AJ$133,2),0)</f>
        <v>22000</v>
      </c>
      <c r="AJ52" s="417">
        <f>IFERROR(HLOOKUP(AJ$7,Inputs!$H$129:$AJ$133,2),0)</f>
        <v>22000</v>
      </c>
      <c r="AK52" s="417">
        <f>IFERROR(HLOOKUP(AK$7,Inputs!$H$129:$AJ$133,2),0)</f>
        <v>22000</v>
      </c>
      <c r="AL52" s="417">
        <f>IFERROR(HLOOKUP(AL$7,Inputs!$H$129:$AJ$133,2),0)</f>
        <v>22000</v>
      </c>
      <c r="AM52" s="417">
        <f>IFERROR(HLOOKUP(AM$7,Inputs!$H$129:$AJ$133,2),0)</f>
        <v>22000</v>
      </c>
      <c r="AN52" s="417">
        <f>IFERROR(HLOOKUP(AN$7,Inputs!$H$129:$AJ$133,2),0)</f>
        <v>22000</v>
      </c>
      <c r="AO52" s="417">
        <f>IFERROR(HLOOKUP(AO$7,Inputs!$H$129:$AJ$133,2),0)</f>
        <v>22000</v>
      </c>
      <c r="AP52" s="417">
        <f>IFERROR(HLOOKUP(AP$7,Inputs!$H$129:$AJ$133,2),0)</f>
        <v>22000</v>
      </c>
      <c r="AQ52" s="417">
        <f>IFERROR(HLOOKUP(AQ$7,Inputs!$H$129:$AJ$133,2),0)</f>
        <v>22000</v>
      </c>
      <c r="AR52" s="417">
        <f>IFERROR(HLOOKUP(AR$7,Inputs!$H$129:$AJ$133,2),0)</f>
        <v>22000</v>
      </c>
    </row>
    <row r="53" spans="1:44" ht="15" x14ac:dyDescent="0.25">
      <c r="A53" s="2"/>
      <c r="B53" s="380" t="s">
        <v>329</v>
      </c>
      <c r="C53" s="11" t="s">
        <v>331</v>
      </c>
      <c r="D53" s="417">
        <f>SUM(F53:AR53)</f>
        <v>2154172.8695652192</v>
      </c>
      <c r="E53" s="380"/>
      <c r="F53" s="417">
        <f t="shared" ref="F53" si="24">F49*F52</f>
        <v>0</v>
      </c>
      <c r="G53" s="417">
        <f t="shared" ref="G53" si="25">G49*G52</f>
        <v>0</v>
      </c>
      <c r="H53" s="417">
        <f t="shared" ref="H53" si="26">H49*H52</f>
        <v>0</v>
      </c>
      <c r="I53" s="417">
        <f t="shared" ref="I53" si="27">I49*I52</f>
        <v>0</v>
      </c>
      <c r="J53" s="417">
        <f t="shared" ref="J53" si="28">J49*J52</f>
        <v>0</v>
      </c>
      <c r="K53" s="417">
        <f>K49*K52</f>
        <v>28185.300000000003</v>
      </c>
      <c r="L53" s="417">
        <f t="shared" ref="L53" si="29">L49*L52</f>
        <v>30410.58994565218</v>
      </c>
      <c r="M53" s="417">
        <f t="shared" ref="M53" si="30">M49*M52</f>
        <v>32529.315760869569</v>
      </c>
      <c r="N53" s="417">
        <f t="shared" ref="N53" si="31">N49*N52</f>
        <v>34853.016847826097</v>
      </c>
      <c r="O53" s="417">
        <f t="shared" ref="O53" si="32">O49*O52</f>
        <v>37408.532608695663</v>
      </c>
      <c r="P53" s="417">
        <f t="shared" ref="P53" si="33">P49*P52</f>
        <v>39848.537771739138</v>
      </c>
      <c r="Q53" s="417">
        <f t="shared" ref="Q53" si="34">Q49*Q52</f>
        <v>42538.25054347828</v>
      </c>
      <c r="R53" s="417">
        <f t="shared" ref="R53" si="35">R49*R52</f>
        <v>45094.559782608718</v>
      </c>
      <c r="S53" s="417">
        <f t="shared" ref="S53" si="36">S49*S52</f>
        <v>47062.782608695677</v>
      </c>
      <c r="T53" s="417">
        <f t="shared" ref="T53" si="37">T49*T52</f>
        <v>49031.00543478263</v>
      </c>
      <c r="U53" s="417">
        <f t="shared" ref="U53" si="38">U49*U52</f>
        <v>50999.22826086959</v>
      </c>
      <c r="V53" s="417">
        <f t="shared" ref="V53" si="39">V49*V52</f>
        <v>52967.451086956549</v>
      </c>
      <c r="W53" s="417">
        <f t="shared" ref="W53" si="40">W49*W52</f>
        <v>54935.673913043502</v>
      </c>
      <c r="X53" s="417">
        <f t="shared" ref="X53" si="41">X49*X52</f>
        <v>56903.896739130469</v>
      </c>
      <c r="Y53" s="417">
        <f t="shared" ref="Y53" si="42">Y49*Y52</f>
        <v>58872.119565217428</v>
      </c>
      <c r="Z53" s="417">
        <f t="shared" ref="Z53" si="43">Z49*Z52</f>
        <v>60840.342391304388</v>
      </c>
      <c r="AA53" s="417">
        <f t="shared" ref="AA53" si="44">AA49*AA52</f>
        <v>62808.565217391348</v>
      </c>
      <c r="AB53" s="417">
        <f t="shared" ref="AB53" si="45">AB49*AB52</f>
        <v>64776.788043478293</v>
      </c>
      <c r="AC53" s="417">
        <f t="shared" ref="AC53" si="46">AC49*AC52</f>
        <v>66745.01086956526</v>
      </c>
      <c r="AD53" s="417">
        <f t="shared" ref="AD53" si="47">AD49*AD52</f>
        <v>68713.233695652219</v>
      </c>
      <c r="AE53" s="417">
        <f t="shared" ref="AE53" si="48">AE49*AE52</f>
        <v>70681.456521739179</v>
      </c>
      <c r="AF53" s="417">
        <f t="shared" ref="AF53" si="49">AF49*AF52</f>
        <v>72649.679347826139</v>
      </c>
      <c r="AG53" s="417">
        <f t="shared" ref="AG53" si="50">AG49*AG52</f>
        <v>74617.902173913099</v>
      </c>
      <c r="AH53" s="417">
        <f t="shared" ref="AH53" si="51">AH49*AH52</f>
        <v>76586.125000000044</v>
      </c>
      <c r="AI53" s="417">
        <f t="shared" ref="AI53" si="52">AI49*AI52</f>
        <v>78554.347826087018</v>
      </c>
      <c r="AJ53" s="417">
        <f t="shared" ref="AJ53" si="53">AJ49*AJ52</f>
        <v>80522.570652173978</v>
      </c>
      <c r="AK53" s="417">
        <f t="shared" ref="AK53" si="54">AK49*AK52</f>
        <v>82490.793478260937</v>
      </c>
      <c r="AL53" s="417">
        <f t="shared" ref="AL53" si="55">AL49*AL52</f>
        <v>84459.016304347897</v>
      </c>
      <c r="AM53" s="417">
        <f t="shared" ref="AM53" si="56">AM49*AM52</f>
        <v>86427.239130434842</v>
      </c>
      <c r="AN53" s="417">
        <f t="shared" ref="AN53" si="57">AN49*AN52</f>
        <v>88395.461956521802</v>
      </c>
      <c r="AO53" s="417">
        <f t="shared" ref="AO53" si="58">AO49*AO52</f>
        <v>90363.684782608776</v>
      </c>
      <c r="AP53" s="417">
        <f t="shared" ref="AP53" si="59">AP49*AP52</f>
        <v>92331.907608695707</v>
      </c>
      <c r="AQ53" s="417">
        <f t="shared" ref="AQ53" si="60">AQ49*AQ52</f>
        <v>94300.130434782681</v>
      </c>
      <c r="AR53" s="417">
        <f t="shared" ref="AR53" si="61">AR49*AR52</f>
        <v>96268.353260869641</v>
      </c>
    </row>
    <row r="54" spans="1:44" x14ac:dyDescent="0.2">
      <c r="A54" s="380"/>
      <c r="B54" s="380"/>
      <c r="C54" s="11"/>
      <c r="D54" s="440"/>
      <c r="E54" s="380"/>
      <c r="F54" s="417"/>
      <c r="G54" s="417"/>
      <c r="H54" s="417"/>
      <c r="I54" s="417"/>
      <c r="J54" s="417"/>
      <c r="K54" s="417"/>
      <c r="L54" s="417"/>
      <c r="M54" s="417"/>
      <c r="N54" s="417"/>
      <c r="O54" s="417"/>
      <c r="P54" s="417"/>
      <c r="Q54" s="417"/>
      <c r="R54" s="417"/>
      <c r="S54" s="417"/>
      <c r="T54" s="417"/>
      <c r="U54" s="417"/>
      <c r="V54" s="417"/>
      <c r="W54" s="417"/>
      <c r="X54" s="417"/>
      <c r="Y54" s="417"/>
      <c r="Z54" s="417"/>
      <c r="AA54" s="417"/>
      <c r="AB54" s="417"/>
      <c r="AC54" s="417"/>
      <c r="AD54" s="417"/>
      <c r="AE54" s="417"/>
      <c r="AF54" s="417"/>
      <c r="AG54" s="417"/>
      <c r="AH54" s="417"/>
      <c r="AI54" s="417"/>
      <c r="AJ54" s="417"/>
      <c r="AK54" s="417"/>
      <c r="AL54" s="417"/>
      <c r="AM54" s="417"/>
      <c r="AN54" s="417"/>
      <c r="AO54" s="417"/>
      <c r="AP54" s="417"/>
      <c r="AQ54" s="417"/>
      <c r="AR54" s="417"/>
    </row>
    <row r="55" spans="1:44" ht="15" x14ac:dyDescent="0.25">
      <c r="A55" s="2" t="s">
        <v>319</v>
      </c>
      <c r="B55" s="380"/>
      <c r="C55" s="52"/>
      <c r="D55" s="440"/>
      <c r="E55" s="380"/>
      <c r="F55" s="417"/>
      <c r="G55" s="417"/>
      <c r="H55" s="417"/>
      <c r="I55" s="417"/>
      <c r="J55" s="417"/>
      <c r="K55" s="417"/>
      <c r="L55" s="417"/>
      <c r="M55" s="417"/>
      <c r="N55" s="417"/>
      <c r="O55" s="417"/>
      <c r="P55" s="417"/>
      <c r="Q55" s="417"/>
      <c r="R55" s="417"/>
      <c r="S55" s="417"/>
      <c r="T55" s="417"/>
      <c r="U55" s="417"/>
      <c r="V55" s="417"/>
      <c r="W55" s="417"/>
      <c r="X55" s="417"/>
      <c r="Y55" s="417"/>
      <c r="Z55" s="417"/>
      <c r="AA55" s="417"/>
      <c r="AB55" s="417"/>
      <c r="AC55" s="417"/>
      <c r="AD55" s="417"/>
      <c r="AE55" s="417"/>
      <c r="AF55" s="417"/>
      <c r="AG55" s="417"/>
      <c r="AH55" s="417"/>
      <c r="AI55" s="417"/>
      <c r="AJ55" s="417"/>
      <c r="AK55" s="417"/>
      <c r="AL55" s="417"/>
      <c r="AM55" s="417"/>
      <c r="AN55" s="417"/>
      <c r="AO55" s="417"/>
      <c r="AP55" s="417"/>
      <c r="AQ55" s="417"/>
      <c r="AR55" s="417"/>
    </row>
    <row r="56" spans="1:44" x14ac:dyDescent="0.2">
      <c r="A56" s="380"/>
      <c r="B56" s="380" t="s">
        <v>320</v>
      </c>
      <c r="C56" s="11" t="s">
        <v>310</v>
      </c>
      <c r="D56" s="440">
        <f>SUM(F56:AR56)</f>
        <v>2310006.3525021258</v>
      </c>
      <c r="E56" s="380"/>
      <c r="F56" s="417">
        <f>F36+F53</f>
        <v>0</v>
      </c>
      <c r="G56" s="417">
        <f t="shared" ref="G56:AR56" si="62">G36+G53</f>
        <v>0</v>
      </c>
      <c r="H56" s="417">
        <f t="shared" si="62"/>
        <v>0</v>
      </c>
      <c r="I56" s="417">
        <f t="shared" si="62"/>
        <v>0</v>
      </c>
      <c r="J56" s="417">
        <f t="shared" si="62"/>
        <v>0</v>
      </c>
      <c r="K56" s="417">
        <f t="shared" si="62"/>
        <v>29857.654679199764</v>
      </c>
      <c r="L56" s="417">
        <f t="shared" si="62"/>
        <v>32222.853147631085</v>
      </c>
      <c r="M56" s="417">
        <f t="shared" si="62"/>
        <v>34485.607380033754</v>
      </c>
      <c r="N56" s="417">
        <f t="shared" si="62"/>
        <v>36947.714001124499</v>
      </c>
      <c r="O56" s="417">
        <f t="shared" si="62"/>
        <v>39654.982981190857</v>
      </c>
      <c r="P56" s="417">
        <f t="shared" si="62"/>
        <v>42250.861257837256</v>
      </c>
      <c r="Q56" s="417">
        <f t="shared" si="62"/>
        <v>45089.279299725953</v>
      </c>
      <c r="R56" s="417">
        <f t="shared" si="62"/>
        <v>47809.186454470815</v>
      </c>
      <c r="S56" s="417">
        <f t="shared" si="62"/>
        <v>49945.127090578346</v>
      </c>
      <c r="T56" s="417">
        <f t="shared" si="62"/>
        <v>52072.354922830193</v>
      </c>
      <c r="U56" s="417">
        <f t="shared" si="62"/>
        <v>54216.020360949224</v>
      </c>
      <c r="V56" s="417">
        <f t="shared" si="62"/>
        <v>56363.805693474387</v>
      </c>
      <c r="W56" s="417">
        <f t="shared" si="62"/>
        <v>58501.33326174158</v>
      </c>
      <c r="X56" s="417">
        <f t="shared" si="62"/>
        <v>60656.843396278258</v>
      </c>
      <c r="Y56" s="417">
        <f t="shared" si="62"/>
        <v>62816.473425221069</v>
      </c>
      <c r="Z56" s="417">
        <f t="shared" si="62"/>
        <v>64964.300729503608</v>
      </c>
      <c r="AA56" s="417">
        <f t="shared" si="62"/>
        <v>67131.655560457919</v>
      </c>
      <c r="AB56" s="417">
        <f t="shared" si="62"/>
        <v>69303.130285818363</v>
      </c>
      <c r="AC56" s="417">
        <f t="shared" si="62"/>
        <v>71478.724905584953</v>
      </c>
      <c r="AD56" s="417">
        <f t="shared" si="62"/>
        <v>73658.439419757677</v>
      </c>
      <c r="AE56" s="417">
        <f t="shared" si="62"/>
        <v>75842.273828336532</v>
      </c>
      <c r="AF56" s="417">
        <f t="shared" si="62"/>
        <v>78030.228131321521</v>
      </c>
      <c r="AG56" s="417">
        <f t="shared" si="62"/>
        <v>80222.302328712656</v>
      </c>
      <c r="AH56" s="417">
        <f t="shared" si="62"/>
        <v>82418.49642050991</v>
      </c>
      <c r="AI56" s="417">
        <f t="shared" si="62"/>
        <v>84639.367906986634</v>
      </c>
      <c r="AJ56" s="417">
        <f t="shared" si="62"/>
        <v>86844.316774396953</v>
      </c>
      <c r="AK56" s="417">
        <f t="shared" si="62"/>
        <v>89053.385536213391</v>
      </c>
      <c r="AL56" s="417">
        <f t="shared" si="62"/>
        <v>91266.574192435975</v>
      </c>
      <c r="AM56" s="417">
        <f t="shared" si="62"/>
        <v>93393.412953159161</v>
      </c>
      <c r="AN56" s="417">
        <f t="shared" si="62"/>
        <v>95520.25171388236</v>
      </c>
      <c r="AO56" s="417">
        <f t="shared" si="62"/>
        <v>97647.090474605589</v>
      </c>
      <c r="AP56" s="417">
        <f t="shared" si="62"/>
        <v>99773.92923532876</v>
      </c>
      <c r="AQ56" s="417">
        <f t="shared" si="62"/>
        <v>101900.76799605199</v>
      </c>
      <c r="AR56" s="417">
        <f t="shared" si="62"/>
        <v>104027.60675677519</v>
      </c>
    </row>
    <row r="57" spans="1:44" x14ac:dyDescent="0.2">
      <c r="A57" s="380"/>
      <c r="B57" s="380"/>
      <c r="C57" s="7"/>
      <c r="D57" s="380"/>
      <c r="E57" s="380"/>
      <c r="F57" s="463"/>
      <c r="G57" s="463"/>
      <c r="H57" s="463"/>
      <c r="I57" s="463"/>
      <c r="J57" s="463"/>
      <c r="K57" s="463"/>
      <c r="L57" s="463"/>
      <c r="M57" s="463"/>
      <c r="N57" s="463"/>
      <c r="O57" s="463"/>
      <c r="P57" s="463"/>
      <c r="Q57" s="463"/>
      <c r="R57" s="463"/>
      <c r="S57" s="463"/>
      <c r="T57" s="463"/>
      <c r="U57" s="463"/>
      <c r="V57" s="463"/>
      <c r="W57" s="463"/>
      <c r="X57" s="463"/>
      <c r="Y57" s="463"/>
      <c r="Z57" s="463"/>
      <c r="AA57" s="463"/>
      <c r="AB57" s="463"/>
      <c r="AC57" s="463"/>
      <c r="AD57" s="463"/>
      <c r="AE57" s="463"/>
      <c r="AF57" s="463"/>
      <c r="AG57" s="463"/>
      <c r="AH57" s="463"/>
      <c r="AI57" s="463"/>
      <c r="AJ57" s="463"/>
      <c r="AK57" s="463"/>
      <c r="AL57" s="463"/>
      <c r="AM57" s="463"/>
      <c r="AN57" s="463"/>
      <c r="AO57" s="463"/>
      <c r="AP57" s="463"/>
      <c r="AQ57" s="463"/>
      <c r="AR57" s="463"/>
    </row>
    <row r="58" spans="1:44" s="4" customFormat="1" x14ac:dyDescent="0.2">
      <c r="A58" s="449" t="s">
        <v>255</v>
      </c>
      <c r="B58" s="8"/>
      <c r="C58" s="8"/>
      <c r="D58" s="450"/>
      <c r="E58" s="450"/>
      <c r="F58" s="450"/>
      <c r="G58" s="450"/>
      <c r="H58" s="450"/>
      <c r="I58" s="450"/>
      <c r="J58" s="450"/>
      <c r="K58" s="450"/>
      <c r="L58" s="450"/>
      <c r="M58" s="450"/>
      <c r="N58" s="450"/>
      <c r="O58" s="450"/>
      <c r="P58" s="450"/>
      <c r="Q58" s="450"/>
      <c r="R58" s="450"/>
      <c r="S58" s="450"/>
      <c r="T58" s="450"/>
      <c r="U58" s="450"/>
      <c r="V58" s="450"/>
      <c r="W58" s="450"/>
      <c r="X58" s="450"/>
      <c r="Y58" s="450"/>
      <c r="Z58" s="450"/>
      <c r="AA58" s="450"/>
      <c r="AB58" s="450"/>
      <c r="AC58" s="450"/>
      <c r="AD58" s="450"/>
      <c r="AE58" s="450"/>
      <c r="AF58" s="450"/>
      <c r="AG58" s="450"/>
      <c r="AH58" s="450"/>
      <c r="AI58" s="450"/>
      <c r="AJ58" s="450"/>
      <c r="AK58" s="450"/>
      <c r="AL58" s="450"/>
      <c r="AM58" s="450"/>
      <c r="AN58" s="450"/>
      <c r="AO58" s="450"/>
      <c r="AP58" s="450"/>
      <c r="AQ58" s="450"/>
      <c r="AR58" s="450"/>
    </row>
    <row r="59" spans="1:44" ht="15" x14ac:dyDescent="0.25">
      <c r="A59" s="2" t="s">
        <v>170</v>
      </c>
      <c r="B59" s="380"/>
      <c r="C59" s="380"/>
      <c r="D59" s="380"/>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c r="AJ59" s="380"/>
      <c r="AK59" s="380"/>
      <c r="AL59" s="380"/>
      <c r="AM59" s="380"/>
      <c r="AN59" s="380"/>
      <c r="AO59" s="380"/>
      <c r="AP59" s="380"/>
      <c r="AQ59" s="380"/>
      <c r="AR59" s="380"/>
    </row>
    <row r="60" spans="1:44" ht="15" x14ac:dyDescent="0.25">
      <c r="A60" s="380"/>
      <c r="B60" s="2" t="s">
        <v>169</v>
      </c>
      <c r="C60" s="52"/>
      <c r="D60" s="440"/>
      <c r="E60" s="380"/>
      <c r="F60" s="417"/>
      <c r="G60" s="417"/>
      <c r="H60" s="417"/>
      <c r="I60" s="417"/>
      <c r="J60" s="417"/>
      <c r="K60" s="417"/>
      <c r="L60" s="417"/>
      <c r="M60" s="417"/>
      <c r="N60" s="417"/>
      <c r="O60" s="417"/>
      <c r="P60" s="417"/>
      <c r="Q60" s="417"/>
      <c r="R60" s="417"/>
      <c r="S60" s="417"/>
      <c r="T60" s="417"/>
      <c r="U60" s="417"/>
      <c r="V60" s="417"/>
      <c r="W60" s="417"/>
      <c r="X60" s="417"/>
      <c r="Y60" s="417"/>
      <c r="Z60" s="417"/>
      <c r="AA60" s="417"/>
      <c r="AB60" s="417"/>
      <c r="AC60" s="417"/>
      <c r="AD60" s="417"/>
      <c r="AE60" s="417"/>
      <c r="AF60" s="417"/>
      <c r="AG60" s="417"/>
      <c r="AH60" s="417"/>
      <c r="AI60" s="417"/>
      <c r="AJ60" s="417"/>
      <c r="AK60" s="417"/>
      <c r="AL60" s="417"/>
      <c r="AM60" s="417"/>
      <c r="AN60" s="417"/>
      <c r="AO60" s="417"/>
      <c r="AP60" s="417"/>
      <c r="AQ60" s="417"/>
      <c r="AR60" s="417"/>
    </row>
    <row r="61" spans="1:44" x14ac:dyDescent="0.2">
      <c r="A61" s="380"/>
      <c r="B61" s="380" t="s">
        <v>176</v>
      </c>
      <c r="C61" s="52" t="s">
        <v>172</v>
      </c>
      <c r="D61" s="432">
        <f>Inputs!E118</f>
        <v>17.162499999999998</v>
      </c>
      <c r="E61" s="380"/>
      <c r="F61" s="458">
        <f t="shared" ref="F61:J61" si="63">IF(F$7=$D62,$D61,0)</f>
        <v>0</v>
      </c>
      <c r="G61" s="458">
        <f t="shared" si="63"/>
        <v>0</v>
      </c>
      <c r="H61" s="458">
        <f t="shared" si="63"/>
        <v>0</v>
      </c>
      <c r="I61" s="458">
        <f t="shared" si="63"/>
        <v>0</v>
      </c>
      <c r="J61" s="458">
        <f t="shared" si="63"/>
        <v>0</v>
      </c>
      <c r="K61" s="458">
        <f>IF(K$7=$D62,$D61,0)</f>
        <v>17.162499999999998</v>
      </c>
      <c r="L61" s="458">
        <f t="shared" ref="L61:AR61" si="64">IF(L$7=$D62,$D61,0)</f>
        <v>0</v>
      </c>
      <c r="M61" s="458">
        <f t="shared" si="64"/>
        <v>0</v>
      </c>
      <c r="N61" s="458">
        <f t="shared" si="64"/>
        <v>0</v>
      </c>
      <c r="O61" s="458">
        <f t="shared" si="64"/>
        <v>0</v>
      </c>
      <c r="P61" s="458">
        <f t="shared" si="64"/>
        <v>0</v>
      </c>
      <c r="Q61" s="458">
        <f t="shared" si="64"/>
        <v>0</v>
      </c>
      <c r="R61" s="458">
        <f t="shared" si="64"/>
        <v>0</v>
      </c>
      <c r="S61" s="458">
        <f t="shared" si="64"/>
        <v>0</v>
      </c>
      <c r="T61" s="458">
        <f t="shared" si="64"/>
        <v>0</v>
      </c>
      <c r="U61" s="458">
        <f t="shared" si="64"/>
        <v>0</v>
      </c>
      <c r="V61" s="458">
        <f t="shared" si="64"/>
        <v>0</v>
      </c>
      <c r="W61" s="458">
        <f t="shared" si="64"/>
        <v>0</v>
      </c>
      <c r="X61" s="458">
        <f t="shared" si="64"/>
        <v>0</v>
      </c>
      <c r="Y61" s="458">
        <f t="shared" si="64"/>
        <v>0</v>
      </c>
      <c r="Z61" s="458">
        <f t="shared" si="64"/>
        <v>0</v>
      </c>
      <c r="AA61" s="458">
        <f t="shared" si="64"/>
        <v>0</v>
      </c>
      <c r="AB61" s="458">
        <f t="shared" si="64"/>
        <v>0</v>
      </c>
      <c r="AC61" s="458">
        <f t="shared" si="64"/>
        <v>0</v>
      </c>
      <c r="AD61" s="458">
        <f t="shared" si="64"/>
        <v>0</v>
      </c>
      <c r="AE61" s="458">
        <f t="shared" si="64"/>
        <v>0</v>
      </c>
      <c r="AF61" s="458">
        <f t="shared" si="64"/>
        <v>0</v>
      </c>
      <c r="AG61" s="458">
        <f t="shared" si="64"/>
        <v>0</v>
      </c>
      <c r="AH61" s="458">
        <f t="shared" si="64"/>
        <v>0</v>
      </c>
      <c r="AI61" s="458">
        <f t="shared" si="64"/>
        <v>0</v>
      </c>
      <c r="AJ61" s="458">
        <f t="shared" si="64"/>
        <v>0</v>
      </c>
      <c r="AK61" s="458">
        <f t="shared" si="64"/>
        <v>0</v>
      </c>
      <c r="AL61" s="458">
        <f t="shared" si="64"/>
        <v>0</v>
      </c>
      <c r="AM61" s="458">
        <f t="shared" si="64"/>
        <v>0</v>
      </c>
      <c r="AN61" s="458">
        <f t="shared" si="64"/>
        <v>0</v>
      </c>
      <c r="AO61" s="458">
        <f t="shared" si="64"/>
        <v>0</v>
      </c>
      <c r="AP61" s="458">
        <f t="shared" si="64"/>
        <v>0</v>
      </c>
      <c r="AQ61" s="458">
        <f t="shared" si="64"/>
        <v>0</v>
      </c>
      <c r="AR61" s="458">
        <f t="shared" si="64"/>
        <v>0</v>
      </c>
    </row>
    <row r="62" spans="1:44" x14ac:dyDescent="0.2">
      <c r="A62" s="380"/>
      <c r="B62" s="380" t="s">
        <v>177</v>
      </c>
      <c r="C62" s="52" t="s">
        <v>120</v>
      </c>
      <c r="D62" s="428">
        <f>Inputs!E119</f>
        <v>2023</v>
      </c>
      <c r="E62" s="380"/>
      <c r="F62" s="417"/>
      <c r="G62" s="417"/>
      <c r="H62" s="417"/>
      <c r="I62" s="417"/>
      <c r="J62" s="417"/>
      <c r="K62" s="417"/>
      <c r="L62" s="417"/>
      <c r="M62" s="417"/>
      <c r="N62" s="417"/>
      <c r="O62" s="417"/>
      <c r="P62" s="417"/>
      <c r="Q62" s="417"/>
      <c r="R62" s="417"/>
      <c r="S62" s="417"/>
      <c r="T62" s="417"/>
      <c r="U62" s="417"/>
      <c r="V62" s="417"/>
      <c r="W62" s="417"/>
      <c r="X62" s="417"/>
      <c r="Y62" s="417"/>
      <c r="Z62" s="417"/>
      <c r="AA62" s="417"/>
      <c r="AB62" s="417"/>
      <c r="AC62" s="417"/>
      <c r="AD62" s="417"/>
      <c r="AE62" s="417"/>
      <c r="AF62" s="417"/>
      <c r="AG62" s="417"/>
      <c r="AH62" s="417"/>
      <c r="AI62" s="417"/>
      <c r="AJ62" s="417"/>
      <c r="AK62" s="417"/>
      <c r="AL62" s="417"/>
      <c r="AM62" s="417"/>
      <c r="AN62" s="417"/>
      <c r="AO62" s="417"/>
      <c r="AP62" s="417"/>
      <c r="AQ62" s="417"/>
      <c r="AR62" s="417"/>
    </row>
    <row r="63" spans="1:44" x14ac:dyDescent="0.2">
      <c r="A63" s="380"/>
      <c r="B63" s="380" t="s">
        <v>178</v>
      </c>
      <c r="C63" s="52" t="s">
        <v>172</v>
      </c>
      <c r="D63" s="432">
        <f>Inputs!E120</f>
        <v>34.912500000000001</v>
      </c>
      <c r="E63" s="380"/>
      <c r="F63" s="417"/>
      <c r="G63" s="417"/>
      <c r="H63" s="417"/>
      <c r="I63" s="417"/>
      <c r="J63" s="417"/>
      <c r="K63" s="417"/>
      <c r="L63" s="417"/>
      <c r="M63" s="417"/>
      <c r="N63" s="417"/>
      <c r="O63" s="417"/>
      <c r="P63" s="417"/>
      <c r="Q63" s="417"/>
      <c r="R63" s="417"/>
      <c r="S63" s="417"/>
      <c r="T63" s="417"/>
      <c r="U63" s="417"/>
      <c r="V63" s="417"/>
      <c r="W63" s="417"/>
      <c r="X63" s="417"/>
      <c r="Y63" s="417"/>
      <c r="Z63" s="417"/>
      <c r="AA63" s="417"/>
      <c r="AB63" s="417"/>
      <c r="AC63" s="417"/>
      <c r="AD63" s="417"/>
      <c r="AE63" s="417"/>
      <c r="AF63" s="417"/>
      <c r="AG63" s="417"/>
      <c r="AH63" s="417"/>
      <c r="AI63" s="417"/>
      <c r="AJ63" s="417"/>
      <c r="AK63" s="417"/>
      <c r="AL63" s="417"/>
      <c r="AM63" s="417"/>
      <c r="AN63" s="417"/>
      <c r="AO63" s="417"/>
      <c r="AP63" s="417"/>
      <c r="AQ63" s="417"/>
      <c r="AR63" s="417"/>
    </row>
    <row r="64" spans="1:44" x14ac:dyDescent="0.2">
      <c r="A64" s="380"/>
      <c r="B64" s="380" t="s">
        <v>178</v>
      </c>
      <c r="C64" s="52" t="s">
        <v>120</v>
      </c>
      <c r="D64" s="428">
        <f>Inputs!E121</f>
        <v>2046</v>
      </c>
      <c r="E64" s="380"/>
      <c r="F64" s="417"/>
      <c r="G64" s="417"/>
      <c r="H64" s="417"/>
      <c r="I64" s="417"/>
      <c r="J64" s="417"/>
      <c r="K64" s="417"/>
      <c r="L64" s="417"/>
      <c r="M64" s="417"/>
      <c r="N64" s="417"/>
      <c r="O64" s="417"/>
      <c r="P64" s="417"/>
      <c r="Q64" s="417"/>
      <c r="R64" s="417"/>
      <c r="S64" s="417"/>
      <c r="T64" s="417"/>
      <c r="U64" s="417"/>
      <c r="V64" s="417"/>
      <c r="W64" s="417"/>
      <c r="X64" s="417"/>
      <c r="Y64" s="417"/>
      <c r="Z64" s="417"/>
      <c r="AA64" s="417"/>
      <c r="AB64" s="417"/>
      <c r="AC64" s="417"/>
      <c r="AD64" s="417"/>
      <c r="AE64" s="417"/>
      <c r="AF64" s="417"/>
      <c r="AG64" s="417"/>
      <c r="AH64" s="417"/>
      <c r="AI64" s="417"/>
      <c r="AJ64" s="417"/>
      <c r="AK64" s="417"/>
      <c r="AL64" s="417"/>
      <c r="AM64" s="417"/>
      <c r="AN64" s="417"/>
      <c r="AO64" s="417"/>
      <c r="AP64" s="417"/>
      <c r="AQ64" s="417"/>
      <c r="AR64" s="417"/>
    </row>
    <row r="65" spans="1:44" x14ac:dyDescent="0.2">
      <c r="A65" s="380"/>
      <c r="B65" s="380" t="s">
        <v>301</v>
      </c>
      <c r="C65" s="52" t="s">
        <v>172</v>
      </c>
      <c r="D65" s="459">
        <f>(D63-D61)/(D64-D62)</f>
        <v>0.77173913043478282</v>
      </c>
      <c r="E65" s="380"/>
      <c r="F65" s="417"/>
      <c r="G65" s="417"/>
      <c r="H65" s="417"/>
      <c r="I65" s="417"/>
      <c r="J65" s="417"/>
      <c r="K65" s="417"/>
      <c r="L65" s="417"/>
      <c r="M65" s="417"/>
      <c r="N65" s="417"/>
      <c r="O65" s="417"/>
      <c r="P65" s="417"/>
      <c r="Q65" s="417"/>
      <c r="R65" s="417"/>
      <c r="S65" s="417"/>
      <c r="T65" s="417"/>
      <c r="U65" s="417"/>
      <c r="V65" s="417"/>
      <c r="W65" s="417"/>
      <c r="X65" s="417"/>
      <c r="Y65" s="417"/>
      <c r="Z65" s="417"/>
      <c r="AA65" s="417"/>
      <c r="AB65" s="417"/>
      <c r="AC65" s="417"/>
      <c r="AD65" s="417"/>
      <c r="AE65" s="417"/>
      <c r="AF65" s="417"/>
      <c r="AG65" s="417"/>
      <c r="AH65" s="417"/>
      <c r="AI65" s="417"/>
      <c r="AJ65" s="417"/>
      <c r="AK65" s="417"/>
      <c r="AL65" s="417"/>
      <c r="AM65" s="417"/>
      <c r="AN65" s="417"/>
      <c r="AO65" s="417"/>
      <c r="AP65" s="417"/>
      <c r="AQ65" s="417"/>
      <c r="AR65" s="417"/>
    </row>
    <row r="66" spans="1:44" x14ac:dyDescent="0.2">
      <c r="A66" s="380"/>
      <c r="B66" s="380" t="s">
        <v>302</v>
      </c>
      <c r="C66" s="52" t="s">
        <v>106</v>
      </c>
      <c r="D66" s="453"/>
      <c r="E66" s="380"/>
      <c r="F66" s="417">
        <f>IF(F$7&gt;$D62,1,0)</f>
        <v>0</v>
      </c>
      <c r="G66" s="417">
        <f t="shared" ref="G66:AR66" si="65">IF(G$7&gt;$D62,1,0)</f>
        <v>0</v>
      </c>
      <c r="H66" s="417">
        <f t="shared" si="65"/>
        <v>0</v>
      </c>
      <c r="I66" s="417">
        <f t="shared" si="65"/>
        <v>0</v>
      </c>
      <c r="J66" s="417">
        <f t="shared" si="65"/>
        <v>0</v>
      </c>
      <c r="K66" s="417">
        <f t="shared" si="65"/>
        <v>0</v>
      </c>
      <c r="L66" s="417">
        <f t="shared" si="65"/>
        <v>1</v>
      </c>
      <c r="M66" s="417">
        <f t="shared" si="65"/>
        <v>1</v>
      </c>
      <c r="N66" s="417">
        <f t="shared" si="65"/>
        <v>1</v>
      </c>
      <c r="O66" s="417">
        <f t="shared" si="65"/>
        <v>1</v>
      </c>
      <c r="P66" s="417">
        <f t="shared" si="65"/>
        <v>1</v>
      </c>
      <c r="Q66" s="417">
        <f t="shared" si="65"/>
        <v>1</v>
      </c>
      <c r="R66" s="417">
        <f t="shared" si="65"/>
        <v>1</v>
      </c>
      <c r="S66" s="417">
        <f t="shared" si="65"/>
        <v>1</v>
      </c>
      <c r="T66" s="417">
        <f t="shared" si="65"/>
        <v>1</v>
      </c>
      <c r="U66" s="417">
        <f t="shared" si="65"/>
        <v>1</v>
      </c>
      <c r="V66" s="417">
        <f t="shared" si="65"/>
        <v>1</v>
      </c>
      <c r="W66" s="417">
        <f t="shared" si="65"/>
        <v>1</v>
      </c>
      <c r="X66" s="417">
        <f t="shared" si="65"/>
        <v>1</v>
      </c>
      <c r="Y66" s="417">
        <f t="shared" si="65"/>
        <v>1</v>
      </c>
      <c r="Z66" s="417">
        <f t="shared" si="65"/>
        <v>1</v>
      </c>
      <c r="AA66" s="417">
        <f t="shared" si="65"/>
        <v>1</v>
      </c>
      <c r="AB66" s="417">
        <f t="shared" si="65"/>
        <v>1</v>
      </c>
      <c r="AC66" s="417">
        <f t="shared" si="65"/>
        <v>1</v>
      </c>
      <c r="AD66" s="417">
        <f t="shared" si="65"/>
        <v>1</v>
      </c>
      <c r="AE66" s="417">
        <f t="shared" si="65"/>
        <v>1</v>
      </c>
      <c r="AF66" s="417">
        <f t="shared" si="65"/>
        <v>1</v>
      </c>
      <c r="AG66" s="417">
        <f t="shared" si="65"/>
        <v>1</v>
      </c>
      <c r="AH66" s="417">
        <f t="shared" si="65"/>
        <v>1</v>
      </c>
      <c r="AI66" s="417">
        <f t="shared" si="65"/>
        <v>1</v>
      </c>
      <c r="AJ66" s="417">
        <f t="shared" si="65"/>
        <v>1</v>
      </c>
      <c r="AK66" s="417">
        <f t="shared" si="65"/>
        <v>1</v>
      </c>
      <c r="AL66" s="417">
        <f t="shared" si="65"/>
        <v>1</v>
      </c>
      <c r="AM66" s="417">
        <f t="shared" si="65"/>
        <v>1</v>
      </c>
      <c r="AN66" s="417">
        <f t="shared" si="65"/>
        <v>1</v>
      </c>
      <c r="AO66" s="417">
        <f t="shared" si="65"/>
        <v>1</v>
      </c>
      <c r="AP66" s="417">
        <f t="shared" si="65"/>
        <v>1</v>
      </c>
      <c r="AQ66" s="417">
        <f t="shared" si="65"/>
        <v>1</v>
      </c>
      <c r="AR66" s="417">
        <f t="shared" si="65"/>
        <v>1</v>
      </c>
    </row>
    <row r="67" spans="1:44" ht="15" x14ac:dyDescent="0.25">
      <c r="A67" s="2"/>
      <c r="B67" s="380" t="s">
        <v>323</v>
      </c>
      <c r="C67" s="52" t="s">
        <v>172</v>
      </c>
      <c r="D67" s="432">
        <f>SUM(F67:AR67)</f>
        <v>1016.4706521739125</v>
      </c>
      <c r="E67" s="380"/>
      <c r="F67" s="432">
        <f t="shared" ref="F67:K67" si="66">E67+F61+F66*$D65</f>
        <v>0</v>
      </c>
      <c r="G67" s="432">
        <f t="shared" si="66"/>
        <v>0</v>
      </c>
      <c r="H67" s="432">
        <f t="shared" si="66"/>
        <v>0</v>
      </c>
      <c r="I67" s="432">
        <f t="shared" si="66"/>
        <v>0</v>
      </c>
      <c r="J67" s="432">
        <f t="shared" si="66"/>
        <v>0</v>
      </c>
      <c r="K67" s="432">
        <f t="shared" si="66"/>
        <v>17.162499999999998</v>
      </c>
      <c r="L67" s="432">
        <f>K67+L61+L66*$D65</f>
        <v>17.934239130434779</v>
      </c>
      <c r="M67" s="432">
        <f t="shared" ref="M67:AR67" si="67">L67+M61+M66*$D65</f>
        <v>18.705978260869561</v>
      </c>
      <c r="N67" s="432">
        <f t="shared" si="67"/>
        <v>19.477717391304342</v>
      </c>
      <c r="O67" s="432">
        <f t="shared" si="67"/>
        <v>20.249456521739123</v>
      </c>
      <c r="P67" s="432">
        <f t="shared" si="67"/>
        <v>21.021195652173905</v>
      </c>
      <c r="Q67" s="432">
        <f t="shared" si="67"/>
        <v>21.792934782608686</v>
      </c>
      <c r="R67" s="432">
        <f t="shared" si="67"/>
        <v>22.564673913043467</v>
      </c>
      <c r="S67" s="432">
        <f t="shared" si="67"/>
        <v>23.336413043478249</v>
      </c>
      <c r="T67" s="432">
        <f t="shared" si="67"/>
        <v>24.10815217391303</v>
      </c>
      <c r="U67" s="432">
        <f t="shared" si="67"/>
        <v>24.879891304347812</v>
      </c>
      <c r="V67" s="432">
        <f t="shared" si="67"/>
        <v>25.651630434782593</v>
      </c>
      <c r="W67" s="432">
        <f t="shared" si="67"/>
        <v>26.423369565217374</v>
      </c>
      <c r="X67" s="432">
        <f t="shared" si="67"/>
        <v>27.195108695652156</v>
      </c>
      <c r="Y67" s="432">
        <f t="shared" si="67"/>
        <v>27.966847826086937</v>
      </c>
      <c r="Z67" s="432">
        <f t="shared" si="67"/>
        <v>28.738586956521718</v>
      </c>
      <c r="AA67" s="432">
        <f t="shared" si="67"/>
        <v>29.5103260869565</v>
      </c>
      <c r="AB67" s="432">
        <f t="shared" si="67"/>
        <v>30.282065217391281</v>
      </c>
      <c r="AC67" s="432">
        <f t="shared" si="67"/>
        <v>31.053804347826063</v>
      </c>
      <c r="AD67" s="432">
        <f t="shared" si="67"/>
        <v>31.825543478260844</v>
      </c>
      <c r="AE67" s="432">
        <f t="shared" si="67"/>
        <v>32.597282608695629</v>
      </c>
      <c r="AF67" s="432">
        <f t="shared" si="67"/>
        <v>33.36902173913041</v>
      </c>
      <c r="AG67" s="432">
        <f t="shared" si="67"/>
        <v>34.140760869565192</v>
      </c>
      <c r="AH67" s="432">
        <f t="shared" si="67"/>
        <v>34.912499999999973</v>
      </c>
      <c r="AI67" s="432">
        <f t="shared" si="67"/>
        <v>35.684239130434754</v>
      </c>
      <c r="AJ67" s="432">
        <f t="shared" si="67"/>
        <v>36.455978260869536</v>
      </c>
      <c r="AK67" s="432">
        <f t="shared" si="67"/>
        <v>37.227717391304317</v>
      </c>
      <c r="AL67" s="432">
        <f t="shared" si="67"/>
        <v>37.999456521739098</v>
      </c>
      <c r="AM67" s="432">
        <f t="shared" si="67"/>
        <v>38.77119565217388</v>
      </c>
      <c r="AN67" s="432">
        <f t="shared" si="67"/>
        <v>39.542934782608661</v>
      </c>
      <c r="AO67" s="432">
        <f t="shared" si="67"/>
        <v>40.314673913043443</v>
      </c>
      <c r="AP67" s="432">
        <f t="shared" si="67"/>
        <v>41.086413043478224</v>
      </c>
      <c r="AQ67" s="432">
        <f t="shared" si="67"/>
        <v>41.858152173913005</v>
      </c>
      <c r="AR67" s="432">
        <f t="shared" si="67"/>
        <v>42.629891304347787</v>
      </c>
    </row>
    <row r="68" spans="1:44" ht="15" x14ac:dyDescent="0.25">
      <c r="A68" s="2"/>
      <c r="B68" s="380" t="s">
        <v>324</v>
      </c>
      <c r="C68" s="52" t="s">
        <v>325</v>
      </c>
      <c r="D68" s="432">
        <f>Inputs!$E$33</f>
        <v>1000</v>
      </c>
      <c r="E68" s="380"/>
      <c r="F68" s="432"/>
      <c r="G68" s="432"/>
      <c r="H68" s="432"/>
      <c r="I68" s="432"/>
      <c r="J68" s="432"/>
      <c r="K68" s="432"/>
      <c r="L68" s="432"/>
      <c r="M68" s="432"/>
      <c r="N68" s="432"/>
      <c r="O68" s="432"/>
      <c r="P68" s="432"/>
      <c r="Q68" s="432"/>
      <c r="R68" s="432"/>
      <c r="S68" s="432"/>
      <c r="T68" s="432"/>
      <c r="U68" s="432"/>
      <c r="V68" s="432"/>
      <c r="W68" s="432"/>
      <c r="X68" s="432"/>
      <c r="Y68" s="432"/>
      <c r="Z68" s="432"/>
      <c r="AA68" s="432"/>
      <c r="AB68" s="432"/>
      <c r="AC68" s="432"/>
      <c r="AD68" s="432"/>
      <c r="AE68" s="432"/>
      <c r="AF68" s="432"/>
      <c r="AG68" s="432"/>
      <c r="AH68" s="432"/>
      <c r="AI68" s="432"/>
      <c r="AJ68" s="432"/>
      <c r="AK68" s="432"/>
      <c r="AL68" s="432"/>
      <c r="AM68" s="432"/>
      <c r="AN68" s="432"/>
      <c r="AO68" s="432"/>
      <c r="AP68" s="432"/>
      <c r="AQ68" s="432"/>
      <c r="AR68" s="432"/>
    </row>
    <row r="69" spans="1:44" ht="15" x14ac:dyDescent="0.25">
      <c r="A69" s="2"/>
      <c r="B69" s="380" t="s">
        <v>326</v>
      </c>
      <c r="C69" s="52" t="s">
        <v>327</v>
      </c>
      <c r="D69" s="432">
        <f>Inputs!$E$32</f>
        <v>365</v>
      </c>
      <c r="E69" s="380"/>
      <c r="F69" s="432"/>
      <c r="G69" s="432"/>
      <c r="H69" s="432"/>
      <c r="I69" s="432"/>
      <c r="J69" s="432"/>
      <c r="K69" s="432"/>
      <c r="L69" s="432"/>
      <c r="M69" s="432"/>
      <c r="N69" s="432"/>
      <c r="O69" s="432"/>
      <c r="P69" s="432"/>
      <c r="Q69" s="432"/>
      <c r="R69" s="432"/>
      <c r="S69" s="432"/>
      <c r="T69" s="432"/>
      <c r="U69" s="432"/>
      <c r="V69" s="432"/>
      <c r="W69" s="432"/>
      <c r="X69" s="432"/>
      <c r="Y69" s="432"/>
      <c r="Z69" s="432"/>
      <c r="AA69" s="432"/>
      <c r="AB69" s="432"/>
      <c r="AC69" s="432"/>
      <c r="AD69" s="432"/>
      <c r="AE69" s="432"/>
      <c r="AF69" s="432"/>
      <c r="AG69" s="432"/>
      <c r="AH69" s="432"/>
      <c r="AI69" s="432"/>
      <c r="AJ69" s="432"/>
      <c r="AK69" s="432"/>
      <c r="AL69" s="432"/>
      <c r="AM69" s="432"/>
      <c r="AN69" s="432"/>
      <c r="AO69" s="432"/>
      <c r="AP69" s="432"/>
      <c r="AQ69" s="432"/>
      <c r="AR69" s="432"/>
    </row>
    <row r="70" spans="1:44" ht="15" x14ac:dyDescent="0.25">
      <c r="A70" s="2"/>
      <c r="B70" s="380" t="s">
        <v>323</v>
      </c>
      <c r="C70" s="52" t="s">
        <v>328</v>
      </c>
      <c r="D70" s="432">
        <f>SUM(F70:AR70)</f>
        <v>371.01178804347796</v>
      </c>
      <c r="E70" s="380"/>
      <c r="F70" s="432">
        <f t="shared" ref="F70:AG70" si="68">F67*$D69/$D68</f>
        <v>0</v>
      </c>
      <c r="G70" s="432">
        <f t="shared" si="68"/>
        <v>0</v>
      </c>
      <c r="H70" s="432">
        <f t="shared" si="68"/>
        <v>0</v>
      </c>
      <c r="I70" s="432">
        <f t="shared" si="68"/>
        <v>0</v>
      </c>
      <c r="J70" s="432">
        <f t="shared" si="68"/>
        <v>0</v>
      </c>
      <c r="K70" s="432">
        <f t="shared" si="68"/>
        <v>6.2643124999999991</v>
      </c>
      <c r="L70" s="432">
        <f t="shared" si="68"/>
        <v>6.5459972826086945</v>
      </c>
      <c r="M70" s="432">
        <f t="shared" si="68"/>
        <v>6.8276820652173891</v>
      </c>
      <c r="N70" s="432">
        <f t="shared" si="68"/>
        <v>7.1093668478260854</v>
      </c>
      <c r="O70" s="432">
        <f t="shared" si="68"/>
        <v>7.39105163043478</v>
      </c>
      <c r="P70" s="432">
        <f t="shared" si="68"/>
        <v>7.6727364130434754</v>
      </c>
      <c r="Q70" s="432">
        <f t="shared" si="68"/>
        <v>7.95442119565217</v>
      </c>
      <c r="R70" s="432">
        <f t="shared" si="68"/>
        <v>8.2361059782608663</v>
      </c>
      <c r="S70" s="432">
        <f t="shared" si="68"/>
        <v>8.5177907608695609</v>
      </c>
      <c r="T70" s="432">
        <f t="shared" si="68"/>
        <v>8.7994755434782572</v>
      </c>
      <c r="U70" s="432">
        <f t="shared" si="68"/>
        <v>9.08116032608695</v>
      </c>
      <c r="V70" s="432">
        <f t="shared" si="68"/>
        <v>9.3628451086956463</v>
      </c>
      <c r="W70" s="432">
        <f t="shared" si="68"/>
        <v>9.6445298913043427</v>
      </c>
      <c r="X70" s="432">
        <f t="shared" si="68"/>
        <v>9.9262146739130372</v>
      </c>
      <c r="Y70" s="432">
        <f t="shared" si="68"/>
        <v>10.207899456521732</v>
      </c>
      <c r="Z70" s="432">
        <f t="shared" si="68"/>
        <v>10.489584239130426</v>
      </c>
      <c r="AA70" s="432">
        <f t="shared" si="68"/>
        <v>10.771269021739123</v>
      </c>
      <c r="AB70" s="432">
        <f t="shared" si="68"/>
        <v>11.052953804347817</v>
      </c>
      <c r="AC70" s="432">
        <f t="shared" si="68"/>
        <v>11.334638586956514</v>
      </c>
      <c r="AD70" s="432">
        <f t="shared" si="68"/>
        <v>11.616323369565208</v>
      </c>
      <c r="AE70" s="432">
        <f t="shared" si="68"/>
        <v>11.898008152173905</v>
      </c>
      <c r="AF70" s="432">
        <f t="shared" si="68"/>
        <v>12.179692934782599</v>
      </c>
      <c r="AG70" s="432">
        <f t="shared" si="68"/>
        <v>12.461377717391295</v>
      </c>
      <c r="AH70" s="432">
        <f>AH67*$D69/$D68</f>
        <v>12.743062499999992</v>
      </c>
      <c r="AI70" s="432">
        <f t="shared" ref="AI70:AR70" si="69">AI67*$D69/$D68</f>
        <v>13.024747282608685</v>
      </c>
      <c r="AJ70" s="432">
        <f t="shared" si="69"/>
        <v>13.306432065217381</v>
      </c>
      <c r="AK70" s="432">
        <f t="shared" si="69"/>
        <v>13.588116847826075</v>
      </c>
      <c r="AL70" s="432">
        <f t="shared" si="69"/>
        <v>13.869801630434772</v>
      </c>
      <c r="AM70" s="432">
        <f t="shared" si="69"/>
        <v>14.151486413043465</v>
      </c>
      <c r="AN70" s="432">
        <f t="shared" si="69"/>
        <v>14.433171195652161</v>
      </c>
      <c r="AO70" s="432">
        <f t="shared" si="69"/>
        <v>14.714855978260857</v>
      </c>
      <c r="AP70" s="432">
        <f t="shared" si="69"/>
        <v>14.996540760869552</v>
      </c>
      <c r="AQ70" s="432">
        <f t="shared" si="69"/>
        <v>15.278225543478248</v>
      </c>
      <c r="AR70" s="432">
        <f t="shared" si="69"/>
        <v>15.559910326086941</v>
      </c>
    </row>
    <row r="71" spans="1:44" ht="15" x14ac:dyDescent="0.25">
      <c r="A71" s="2"/>
      <c r="B71" s="380"/>
      <c r="C71" s="52"/>
      <c r="D71" s="432"/>
      <c r="E71" s="380"/>
      <c r="F71" s="432"/>
      <c r="G71" s="432"/>
      <c r="H71" s="432"/>
      <c r="I71" s="432"/>
      <c r="J71" s="432"/>
      <c r="K71" s="432"/>
      <c r="L71" s="432"/>
      <c r="M71" s="432"/>
      <c r="N71" s="432"/>
      <c r="O71" s="432"/>
      <c r="P71" s="432"/>
      <c r="Q71" s="432"/>
      <c r="R71" s="432"/>
      <c r="S71" s="432"/>
      <c r="T71" s="432"/>
      <c r="U71" s="432"/>
      <c r="V71" s="432"/>
      <c r="W71" s="432"/>
      <c r="X71" s="432"/>
      <c r="Y71" s="432"/>
      <c r="Z71" s="432"/>
      <c r="AA71" s="432"/>
      <c r="AB71" s="432"/>
      <c r="AC71" s="432"/>
      <c r="AD71" s="432"/>
      <c r="AE71" s="432"/>
      <c r="AF71" s="432"/>
      <c r="AG71" s="432"/>
      <c r="AH71" s="432"/>
      <c r="AI71" s="432"/>
      <c r="AJ71" s="432"/>
      <c r="AK71" s="432"/>
      <c r="AL71" s="432"/>
      <c r="AM71" s="432"/>
      <c r="AN71" s="432"/>
      <c r="AO71" s="432"/>
      <c r="AP71" s="432"/>
      <c r="AQ71" s="432"/>
      <c r="AR71" s="432"/>
    </row>
    <row r="72" spans="1:44" ht="15" x14ac:dyDescent="0.25">
      <c r="A72" s="380"/>
      <c r="B72" s="2" t="s">
        <v>329</v>
      </c>
      <c r="C72" s="52"/>
      <c r="D72" s="432"/>
      <c r="E72" s="380"/>
      <c r="F72" s="417"/>
      <c r="G72" s="417"/>
      <c r="H72" s="417"/>
      <c r="I72" s="417"/>
      <c r="J72" s="417"/>
      <c r="K72" s="417"/>
      <c r="L72" s="417"/>
      <c r="M72" s="417"/>
      <c r="N72" s="417"/>
      <c r="O72" s="417"/>
      <c r="P72" s="417"/>
      <c r="Q72" s="417"/>
      <c r="R72" s="417"/>
      <c r="S72" s="417"/>
      <c r="T72" s="417"/>
      <c r="U72" s="417"/>
      <c r="V72" s="417"/>
      <c r="W72" s="417"/>
      <c r="X72" s="417"/>
      <c r="Y72" s="417"/>
      <c r="Z72" s="417"/>
      <c r="AA72" s="417"/>
      <c r="AB72" s="417"/>
      <c r="AC72" s="417"/>
      <c r="AD72" s="417"/>
      <c r="AE72" s="417"/>
      <c r="AF72" s="417"/>
      <c r="AG72" s="417"/>
      <c r="AH72" s="417"/>
      <c r="AI72" s="417"/>
      <c r="AJ72" s="417"/>
      <c r="AK72" s="417"/>
      <c r="AL72" s="417"/>
      <c r="AM72" s="417"/>
      <c r="AN72" s="417"/>
      <c r="AO72" s="417"/>
      <c r="AP72" s="417"/>
      <c r="AQ72" s="417"/>
      <c r="AR72" s="417"/>
    </row>
    <row r="73" spans="1:44" x14ac:dyDescent="0.2">
      <c r="A73" s="380"/>
      <c r="B73" s="380" t="s">
        <v>330</v>
      </c>
      <c r="C73" s="52" t="s">
        <v>181</v>
      </c>
      <c r="D73" s="460"/>
      <c r="E73" s="380"/>
      <c r="F73" s="417">
        <f>IFERROR(HLOOKUP(F$7,Inputs!$H$129:$AJ$133,5),0)</f>
        <v>0</v>
      </c>
      <c r="G73" s="417">
        <f>IFERROR(HLOOKUP(G$7,Inputs!$H$129:$AJ$133,5),0)</f>
        <v>0</v>
      </c>
      <c r="H73" s="417">
        <f>IFERROR(HLOOKUP(H$7,Inputs!$H$129:$AJ$133,5),0)</f>
        <v>0</v>
      </c>
      <c r="I73" s="417">
        <f>IFERROR(HLOOKUP(I$7,Inputs!$H$129:$AJ$133,5),0)</f>
        <v>0</v>
      </c>
      <c r="J73" s="417">
        <f>IFERROR(HLOOKUP(J$7,Inputs!$H$129:$AJ$133,5),0)</f>
        <v>0</v>
      </c>
      <c r="K73" s="417">
        <f>IFERROR(HLOOKUP(K$7,Inputs!$H$129:$AJ$133,5),0)</f>
        <v>228.37600706009624</v>
      </c>
      <c r="L73" s="417">
        <f>IFERROR(HLOOKUP(L$7,Inputs!$H$129:$AJ$133,5),0)</f>
        <v>232.85396798284322</v>
      </c>
      <c r="M73" s="417">
        <f>IFERROR(HLOOKUP(M$7,Inputs!$H$129:$AJ$133,5),0)</f>
        <v>237.33192890559022</v>
      </c>
      <c r="N73" s="417">
        <f>IFERROR(HLOOKUP(N$7,Inputs!$H$129:$AJ$133,5),0)</f>
        <v>240.69039959765044</v>
      </c>
      <c r="O73" s="417">
        <f>IFERROR(HLOOKUP(O$7,Inputs!$H$129:$AJ$133,5),0)</f>
        <v>245.16836052039741</v>
      </c>
      <c r="P73" s="417">
        <f>IFERROR(HLOOKUP(P$7,Inputs!$H$129:$AJ$133,5),0)</f>
        <v>249.64632144314442</v>
      </c>
      <c r="Q73" s="417">
        <f>IFERROR(HLOOKUP(Q$7,Inputs!$H$129:$AJ$133,5),0)</f>
        <v>253.00479213520464</v>
      </c>
      <c r="R73" s="417">
        <f>IFERROR(HLOOKUP(R$7,Inputs!$H$129:$AJ$133,5),0)</f>
        <v>257.48275305795164</v>
      </c>
      <c r="S73" s="417">
        <f>IFERROR(HLOOKUP(S$7,Inputs!$H$129:$AJ$133,5),0)</f>
        <v>261.96071398069864</v>
      </c>
      <c r="T73" s="417">
        <f>IFERROR(HLOOKUP(T$7,Inputs!$H$129:$AJ$133,5),0)</f>
        <v>265.31918467275887</v>
      </c>
      <c r="U73" s="417">
        <f>IFERROR(HLOOKUP(U$7,Inputs!$H$129:$AJ$133,5),0)</f>
        <v>269.79714559550587</v>
      </c>
      <c r="V73" s="417">
        <f>IFERROR(HLOOKUP(V$7,Inputs!$H$129:$AJ$133,5),0)</f>
        <v>274.27510651825281</v>
      </c>
      <c r="W73" s="417">
        <f>IFERROR(HLOOKUP(W$7,Inputs!$H$129:$AJ$133,5),0)</f>
        <v>277.63357721031309</v>
      </c>
      <c r="X73" s="417">
        <f>IFERROR(HLOOKUP(X$7,Inputs!$H$129:$AJ$133,5),0)</f>
        <v>282.11153813306004</v>
      </c>
      <c r="Y73" s="417">
        <f>IFERROR(HLOOKUP(Y$7,Inputs!$H$129:$AJ$133,5),0)</f>
        <v>286.58949905580704</v>
      </c>
      <c r="Z73" s="417">
        <f>IFERROR(HLOOKUP(Z$7,Inputs!$H$129:$AJ$133,5),0)</f>
        <v>289.94796974786726</v>
      </c>
      <c r="AA73" s="417">
        <f>IFERROR(HLOOKUP(AA$7,Inputs!$H$129:$AJ$133,5),0)</f>
        <v>294.42593067061426</v>
      </c>
      <c r="AB73" s="417">
        <f>IFERROR(HLOOKUP(AB$7,Inputs!$H$129:$AJ$133,5),0)</f>
        <v>298.90389159336127</v>
      </c>
      <c r="AC73" s="417">
        <f>IFERROR(HLOOKUP(AC$7,Inputs!$H$129:$AJ$133,5),0)</f>
        <v>303.38185251610821</v>
      </c>
      <c r="AD73" s="417">
        <f>IFERROR(HLOOKUP(AD$7,Inputs!$H$129:$AJ$133,5),0)</f>
        <v>307.85981343885521</v>
      </c>
      <c r="AE73" s="417">
        <f>IFERROR(HLOOKUP(AE$7,Inputs!$H$129:$AJ$133,5),0)</f>
        <v>312.33777436160221</v>
      </c>
      <c r="AF73" s="417">
        <f>IFERROR(HLOOKUP(AF$7,Inputs!$H$129:$AJ$133,5),0)</f>
        <v>316.81573528434916</v>
      </c>
      <c r="AG73" s="417">
        <f>IFERROR(HLOOKUP(AG$7,Inputs!$H$129:$AJ$133,5),0)</f>
        <v>321.29369620709616</v>
      </c>
      <c r="AH73" s="417">
        <f>IFERROR(HLOOKUP(AH$7,Inputs!$H$129:$AJ$133,5),0)</f>
        <v>325.77165712984316</v>
      </c>
      <c r="AI73" s="417">
        <f>IFERROR(HLOOKUP(AI$7,Inputs!$H$129:$AJ$133,5),0)</f>
        <v>331.36910828327689</v>
      </c>
      <c r="AJ73" s="417">
        <f>IFERROR(HLOOKUP(AJ$7,Inputs!$H$129:$AJ$133,5),0)</f>
        <v>335.84706920602389</v>
      </c>
      <c r="AK73" s="417">
        <f>IFERROR(HLOOKUP(AK$7,Inputs!$H$129:$AJ$133,5),0)</f>
        <v>340.32503012877083</v>
      </c>
      <c r="AL73" s="417">
        <f>IFERROR(HLOOKUP(AL$7,Inputs!$H$129:$AJ$133,5),0)</f>
        <v>344.80299105151784</v>
      </c>
      <c r="AM73" s="417">
        <f>IFERROR(HLOOKUP(AM$7,Inputs!$H$129:$AJ$133,5),0)</f>
        <v>344.80299105151784</v>
      </c>
      <c r="AN73" s="417">
        <f>IFERROR(HLOOKUP(AN$7,Inputs!$H$129:$AJ$133,5),0)</f>
        <v>344.80299105151784</v>
      </c>
      <c r="AO73" s="417">
        <f>IFERROR(HLOOKUP(AO$7,Inputs!$H$129:$AJ$133,5),0)</f>
        <v>344.80299105151784</v>
      </c>
      <c r="AP73" s="417">
        <f>IFERROR(HLOOKUP(AP$7,Inputs!$H$129:$AJ$133,5),0)</f>
        <v>344.80299105151784</v>
      </c>
      <c r="AQ73" s="417">
        <f>IFERROR(HLOOKUP(AQ$7,Inputs!$H$129:$AJ$133,5),0)</f>
        <v>344.80299105151784</v>
      </c>
      <c r="AR73" s="417">
        <f>IFERROR(HLOOKUP(AR$7,Inputs!$H$129:$AJ$133,5),0)</f>
        <v>344.80299105151784</v>
      </c>
    </row>
    <row r="74" spans="1:44" ht="15" x14ac:dyDescent="0.25">
      <c r="A74" s="2"/>
      <c r="B74" s="380" t="s">
        <v>329</v>
      </c>
      <c r="C74" s="11" t="s">
        <v>331</v>
      </c>
      <c r="D74" s="417">
        <f>SUM(F74:AR74)</f>
        <v>113321.4928634191</v>
      </c>
      <c r="E74" s="380"/>
      <c r="F74" s="417">
        <f t="shared" ref="F74" si="70">F70*F73</f>
        <v>0</v>
      </c>
      <c r="G74" s="417">
        <f t="shared" ref="G74" si="71">G70*G73</f>
        <v>0</v>
      </c>
      <c r="H74" s="417">
        <f t="shared" ref="H74" si="72">H70*H73</f>
        <v>0</v>
      </c>
      <c r="I74" s="417">
        <f t="shared" ref="I74" si="73">I70*I73</f>
        <v>0</v>
      </c>
      <c r="J74" s="417">
        <f t="shared" ref="J74" si="74">J70*J73</f>
        <v>0</v>
      </c>
      <c r="K74" s="417">
        <f>K70*K73</f>
        <v>1430.6186757266489</v>
      </c>
      <c r="L74" s="417">
        <f t="shared" ref="L74" si="75">L70*L73</f>
        <v>1524.2614416603437</v>
      </c>
      <c r="M74" s="417">
        <f t="shared" ref="M74" si="76">M70*M73</f>
        <v>1620.4269544921467</v>
      </c>
      <c r="N74" s="417">
        <f t="shared" ref="N74" si="77">N70*N73</f>
        <v>1711.156347489549</v>
      </c>
      <c r="O74" s="417">
        <f t="shared" ref="O74" si="78">O70*O73</f>
        <v>1812.0520107553052</v>
      </c>
      <c r="P74" s="417">
        <f t="shared" ref="P74" si="79">P70*P73</f>
        <v>1915.4704209191702</v>
      </c>
      <c r="Q74" s="417">
        <f t="shared" ref="Q74" si="80">Q70*Q73</f>
        <v>2012.5066811618433</v>
      </c>
      <c r="R74" s="417">
        <f t="shared" ref="R74" si="81">R70*R73</f>
        <v>2120.6552417596617</v>
      </c>
      <c r="S74" s="417">
        <f t="shared" ref="S74" si="82">S70*S73</f>
        <v>2231.3265492555884</v>
      </c>
      <c r="T74" s="417">
        <f t="shared" ref="T74" si="83">T70*T73</f>
        <v>2334.6696767435328</v>
      </c>
      <c r="U74" s="417">
        <f t="shared" ref="U74" si="84">U70*U73</f>
        <v>2450.0711346734124</v>
      </c>
      <c r="V74" s="417">
        <f t="shared" ref="V74" si="85">V70*V73</f>
        <v>2567.9953395014008</v>
      </c>
      <c r="W74" s="417">
        <f t="shared" ref="W74" si="86">W70*W73</f>
        <v>2677.6453342346167</v>
      </c>
      <c r="X74" s="417">
        <f t="shared" ref="X74" si="87">X70*X73</f>
        <v>2800.2996894965581</v>
      </c>
      <c r="Y74" s="417">
        <f t="shared" ref="Y74" si="88">Y70*Y73</f>
        <v>2925.4767916566079</v>
      </c>
      <c r="Z74" s="417">
        <f t="shared" ref="Z74" si="89">Z70*Z73</f>
        <v>3041.4336536350943</v>
      </c>
      <c r="AA74" s="417">
        <f t="shared" ref="AA74" si="90">AA70*AA73</f>
        <v>3171.340906229098</v>
      </c>
      <c r="AB74" s="417">
        <f t="shared" ref="AB74" si="91">AB70*AB73</f>
        <v>3303.7709057212101</v>
      </c>
      <c r="AC74" s="417">
        <f t="shared" ref="AC74" si="92">AC70*AC73</f>
        <v>3438.7236521114301</v>
      </c>
      <c r="AD74" s="417">
        <f t="shared" ref="AD74" si="93">AD70*AD73</f>
        <v>3576.1991453997589</v>
      </c>
      <c r="AE74" s="417">
        <f t="shared" ref="AE74" si="94">AE70*AE73</f>
        <v>3716.1973855861966</v>
      </c>
      <c r="AF74" s="417">
        <f t="shared" ref="AF74" si="95">AF70*AF73</f>
        <v>3858.7183726707417</v>
      </c>
      <c r="AG74" s="417">
        <f t="shared" ref="AG74" si="96">AG70*AG73</f>
        <v>4003.7621066533961</v>
      </c>
      <c r="AH74" s="417">
        <f t="shared" ref="AH74" si="97">AH70*AH73</f>
        <v>4151.3285875341589</v>
      </c>
      <c r="AI74" s="417">
        <f t="shared" ref="AI74" si="98">AI70*AI73</f>
        <v>4315.9988926530732</v>
      </c>
      <c r="AJ74" s="417">
        <f t="shared" ref="AJ74" si="99">AJ70*AJ73</f>
        <v>4468.926210692317</v>
      </c>
      <c r="AK74" s="417">
        <f t="shared" ref="AK74" si="100">AK70*AK73</f>
        <v>4624.3762756296674</v>
      </c>
      <c r="AL74" s="417">
        <f t="shared" ref="AL74" si="101">AL70*AL73</f>
        <v>4782.3490874651279</v>
      </c>
      <c r="AM74" s="417">
        <f t="shared" ref="AM74" si="102">AM70*AM73</f>
        <v>4879.4748430423024</v>
      </c>
      <c r="AN74" s="417">
        <f t="shared" ref="AN74" si="103">AN70*AN73</f>
        <v>4976.6005986194768</v>
      </c>
      <c r="AO74" s="417">
        <f t="shared" ref="AO74" si="104">AO70*AO73</f>
        <v>5073.7263541966522</v>
      </c>
      <c r="AP74" s="417">
        <f t="shared" ref="AP74" si="105">AP70*AP73</f>
        <v>5170.8521097738267</v>
      </c>
      <c r="AQ74" s="417">
        <f t="shared" ref="AQ74" si="106">AQ70*AQ73</f>
        <v>5267.977865351002</v>
      </c>
      <c r="AR74" s="417">
        <f t="shared" ref="AR74" si="107">AR70*AR73</f>
        <v>5365.1036209281756</v>
      </c>
    </row>
    <row r="75" spans="1:44" ht="15" x14ac:dyDescent="0.25">
      <c r="A75" s="2"/>
      <c r="B75" s="380"/>
      <c r="C75" s="11"/>
      <c r="D75" s="459"/>
      <c r="E75" s="380"/>
      <c r="F75" s="417"/>
      <c r="G75" s="417"/>
      <c r="H75" s="417"/>
      <c r="I75" s="417"/>
      <c r="J75" s="417"/>
      <c r="K75" s="417"/>
      <c r="L75" s="417"/>
      <c r="M75" s="417"/>
      <c r="N75" s="417"/>
      <c r="O75" s="417"/>
      <c r="P75" s="417"/>
      <c r="Q75" s="417"/>
      <c r="R75" s="417"/>
      <c r="S75" s="417"/>
      <c r="T75" s="417"/>
      <c r="U75" s="417"/>
      <c r="V75" s="417"/>
      <c r="W75" s="417"/>
      <c r="X75" s="417"/>
      <c r="Y75" s="417"/>
      <c r="Z75" s="417"/>
      <c r="AA75" s="417"/>
      <c r="AB75" s="417"/>
      <c r="AC75" s="417"/>
      <c r="AD75" s="417"/>
      <c r="AE75" s="417"/>
      <c r="AF75" s="417"/>
      <c r="AG75" s="417"/>
      <c r="AH75" s="417"/>
      <c r="AI75" s="417"/>
      <c r="AJ75" s="417"/>
      <c r="AK75" s="417"/>
      <c r="AL75" s="417"/>
      <c r="AM75" s="417"/>
      <c r="AN75" s="417"/>
      <c r="AO75" s="417"/>
      <c r="AP75" s="417"/>
      <c r="AQ75" s="417"/>
      <c r="AR75" s="417"/>
    </row>
    <row r="76" spans="1:44" ht="15" x14ac:dyDescent="0.25">
      <c r="A76" s="2" t="s">
        <v>174</v>
      </c>
      <c r="B76" s="380"/>
      <c r="C76" s="11"/>
      <c r="D76" s="459"/>
      <c r="E76" s="380"/>
      <c r="F76" s="417"/>
      <c r="G76" s="417"/>
      <c r="H76" s="417"/>
      <c r="I76" s="417"/>
      <c r="J76" s="417"/>
      <c r="K76" s="417"/>
      <c r="L76" s="417"/>
      <c r="M76" s="417"/>
      <c r="N76" s="417"/>
      <c r="O76" s="417"/>
      <c r="P76" s="417"/>
      <c r="Q76" s="417"/>
      <c r="R76" s="417"/>
      <c r="S76" s="417"/>
      <c r="T76" s="417"/>
      <c r="U76" s="417"/>
      <c r="V76" s="417"/>
      <c r="W76" s="417"/>
      <c r="X76" s="417"/>
      <c r="Y76" s="417"/>
      <c r="Z76" s="417"/>
      <c r="AA76" s="417"/>
      <c r="AB76" s="417"/>
      <c r="AC76" s="417"/>
      <c r="AD76" s="417"/>
      <c r="AE76" s="417"/>
      <c r="AF76" s="417"/>
      <c r="AG76" s="417"/>
      <c r="AH76" s="417"/>
      <c r="AI76" s="417"/>
      <c r="AJ76" s="417"/>
      <c r="AK76" s="417"/>
      <c r="AL76" s="417"/>
      <c r="AM76" s="417"/>
      <c r="AN76" s="417"/>
      <c r="AO76" s="417"/>
      <c r="AP76" s="417"/>
      <c r="AQ76" s="417"/>
      <c r="AR76" s="417"/>
    </row>
    <row r="77" spans="1:44" ht="15" x14ac:dyDescent="0.25">
      <c r="A77" s="380"/>
      <c r="B77" s="2" t="s">
        <v>169</v>
      </c>
      <c r="C77" s="52"/>
      <c r="D77" s="440"/>
      <c r="E77" s="380"/>
      <c r="F77" s="417"/>
      <c r="G77" s="417"/>
      <c r="H77" s="417"/>
      <c r="I77" s="417"/>
      <c r="J77" s="417"/>
      <c r="K77" s="417"/>
      <c r="L77" s="417"/>
      <c r="M77" s="417"/>
      <c r="N77" s="417"/>
      <c r="O77" s="417"/>
      <c r="P77" s="417"/>
      <c r="Q77" s="417"/>
      <c r="R77" s="417"/>
      <c r="S77" s="417"/>
      <c r="T77" s="417"/>
      <c r="U77" s="417"/>
      <c r="V77" s="417"/>
      <c r="W77" s="417"/>
      <c r="X77" s="417"/>
      <c r="Y77" s="417"/>
      <c r="Z77" s="417"/>
      <c r="AA77" s="417"/>
      <c r="AB77" s="417"/>
      <c r="AC77" s="417"/>
      <c r="AD77" s="417"/>
      <c r="AE77" s="417"/>
      <c r="AF77" s="417"/>
      <c r="AG77" s="417"/>
      <c r="AH77" s="417"/>
      <c r="AI77" s="417"/>
      <c r="AJ77" s="417"/>
      <c r="AK77" s="417"/>
      <c r="AL77" s="417"/>
      <c r="AM77" s="417"/>
      <c r="AN77" s="417"/>
      <c r="AO77" s="417"/>
      <c r="AP77" s="417"/>
      <c r="AQ77" s="417"/>
      <c r="AR77" s="417"/>
    </row>
    <row r="78" spans="1:44" x14ac:dyDescent="0.2">
      <c r="A78" s="380"/>
      <c r="B78" s="380" t="s">
        <v>177</v>
      </c>
      <c r="C78" s="52" t="s">
        <v>172</v>
      </c>
      <c r="D78" s="432">
        <f>Inputs!E123</f>
        <v>3.3374999999999999</v>
      </c>
      <c r="E78" s="380"/>
      <c r="F78" s="458">
        <f t="shared" ref="F78:J78" si="108">IF(F$7=$D79,$D78,0)</f>
        <v>0</v>
      </c>
      <c r="G78" s="458">
        <f t="shared" si="108"/>
        <v>0</v>
      </c>
      <c r="H78" s="458">
        <f t="shared" si="108"/>
        <v>0</v>
      </c>
      <c r="I78" s="458">
        <f t="shared" si="108"/>
        <v>0</v>
      </c>
      <c r="J78" s="458">
        <f t="shared" si="108"/>
        <v>0</v>
      </c>
      <c r="K78" s="458">
        <f>IF(K$7=$D79,$D78,0)</f>
        <v>3.3374999999999999</v>
      </c>
      <c r="L78" s="458">
        <f t="shared" ref="L78:AR78" si="109">IF(L$7=$D79,$D78,0)</f>
        <v>0</v>
      </c>
      <c r="M78" s="458">
        <f t="shared" si="109"/>
        <v>0</v>
      </c>
      <c r="N78" s="458">
        <f t="shared" si="109"/>
        <v>0</v>
      </c>
      <c r="O78" s="458">
        <f t="shared" si="109"/>
        <v>0</v>
      </c>
      <c r="P78" s="458">
        <f t="shared" si="109"/>
        <v>0</v>
      </c>
      <c r="Q78" s="458">
        <f t="shared" si="109"/>
        <v>0</v>
      </c>
      <c r="R78" s="458">
        <f t="shared" si="109"/>
        <v>0</v>
      </c>
      <c r="S78" s="458">
        <f t="shared" si="109"/>
        <v>0</v>
      </c>
      <c r="T78" s="458">
        <f t="shared" si="109"/>
        <v>0</v>
      </c>
      <c r="U78" s="458">
        <f t="shared" si="109"/>
        <v>0</v>
      </c>
      <c r="V78" s="458">
        <f t="shared" si="109"/>
        <v>0</v>
      </c>
      <c r="W78" s="458">
        <f t="shared" si="109"/>
        <v>0</v>
      </c>
      <c r="X78" s="458">
        <f t="shared" si="109"/>
        <v>0</v>
      </c>
      <c r="Y78" s="458">
        <f t="shared" si="109"/>
        <v>0</v>
      </c>
      <c r="Z78" s="458">
        <f t="shared" si="109"/>
        <v>0</v>
      </c>
      <c r="AA78" s="458">
        <f t="shared" si="109"/>
        <v>0</v>
      </c>
      <c r="AB78" s="458">
        <f t="shared" si="109"/>
        <v>0</v>
      </c>
      <c r="AC78" s="458">
        <f t="shared" si="109"/>
        <v>0</v>
      </c>
      <c r="AD78" s="458">
        <f t="shared" si="109"/>
        <v>0</v>
      </c>
      <c r="AE78" s="458">
        <f t="shared" si="109"/>
        <v>0</v>
      </c>
      <c r="AF78" s="458">
        <f t="shared" si="109"/>
        <v>0</v>
      </c>
      <c r="AG78" s="458">
        <f t="shared" si="109"/>
        <v>0</v>
      </c>
      <c r="AH78" s="458">
        <f t="shared" si="109"/>
        <v>0</v>
      </c>
      <c r="AI78" s="458">
        <f t="shared" si="109"/>
        <v>0</v>
      </c>
      <c r="AJ78" s="458">
        <f t="shared" si="109"/>
        <v>0</v>
      </c>
      <c r="AK78" s="458">
        <f t="shared" si="109"/>
        <v>0</v>
      </c>
      <c r="AL78" s="458">
        <f t="shared" si="109"/>
        <v>0</v>
      </c>
      <c r="AM78" s="458">
        <f t="shared" si="109"/>
        <v>0</v>
      </c>
      <c r="AN78" s="458">
        <f t="shared" si="109"/>
        <v>0</v>
      </c>
      <c r="AO78" s="458">
        <f t="shared" si="109"/>
        <v>0</v>
      </c>
      <c r="AP78" s="458">
        <f t="shared" si="109"/>
        <v>0</v>
      </c>
      <c r="AQ78" s="458">
        <f t="shared" si="109"/>
        <v>0</v>
      </c>
      <c r="AR78" s="458">
        <f t="shared" si="109"/>
        <v>0</v>
      </c>
    </row>
    <row r="79" spans="1:44" x14ac:dyDescent="0.2">
      <c r="A79" s="380"/>
      <c r="B79" s="380" t="s">
        <v>177</v>
      </c>
      <c r="C79" s="52" t="s">
        <v>120</v>
      </c>
      <c r="D79" s="428">
        <f>Inputs!E124</f>
        <v>2023</v>
      </c>
      <c r="E79" s="380"/>
      <c r="F79" s="417"/>
      <c r="G79" s="417"/>
      <c r="H79" s="417"/>
      <c r="I79" s="417"/>
      <c r="J79" s="417"/>
      <c r="K79" s="417"/>
      <c r="L79" s="417"/>
      <c r="M79" s="417"/>
      <c r="N79" s="417"/>
      <c r="O79" s="417"/>
      <c r="P79" s="417"/>
      <c r="Q79" s="417"/>
      <c r="R79" s="417"/>
      <c r="S79" s="417"/>
      <c r="T79" s="417"/>
      <c r="U79" s="417"/>
      <c r="V79" s="417"/>
      <c r="W79" s="417"/>
      <c r="X79" s="417"/>
      <c r="Y79" s="417"/>
      <c r="Z79" s="417"/>
      <c r="AA79" s="417"/>
      <c r="AB79" s="417"/>
      <c r="AC79" s="417"/>
      <c r="AD79" s="417"/>
      <c r="AE79" s="417"/>
      <c r="AF79" s="417"/>
      <c r="AG79" s="417"/>
      <c r="AH79" s="417"/>
      <c r="AI79" s="417"/>
      <c r="AJ79" s="417"/>
      <c r="AK79" s="417"/>
      <c r="AL79" s="417"/>
      <c r="AM79" s="417"/>
      <c r="AN79" s="417"/>
      <c r="AO79" s="417"/>
      <c r="AP79" s="417"/>
      <c r="AQ79" s="417"/>
      <c r="AR79" s="417"/>
    </row>
    <row r="80" spans="1:44" x14ac:dyDescent="0.2">
      <c r="A80" s="380"/>
      <c r="B80" s="380" t="s">
        <v>178</v>
      </c>
      <c r="C80" s="52" t="s">
        <v>172</v>
      </c>
      <c r="D80" s="432">
        <f>Inputs!E125</f>
        <v>6.7874999999999996</v>
      </c>
      <c r="E80" s="380"/>
      <c r="F80" s="417"/>
      <c r="G80" s="417"/>
      <c r="H80" s="417"/>
      <c r="I80" s="417"/>
      <c r="J80" s="417"/>
      <c r="K80" s="417"/>
      <c r="L80" s="417"/>
      <c r="M80" s="417"/>
      <c r="N80" s="417"/>
      <c r="O80" s="417"/>
      <c r="P80" s="417"/>
      <c r="Q80" s="417"/>
      <c r="R80" s="417"/>
      <c r="S80" s="417"/>
      <c r="T80" s="417"/>
      <c r="U80" s="417"/>
      <c r="V80" s="417"/>
      <c r="W80" s="417"/>
      <c r="X80" s="417"/>
      <c r="Y80" s="417"/>
      <c r="Z80" s="417"/>
      <c r="AA80" s="417"/>
      <c r="AB80" s="417"/>
      <c r="AC80" s="417"/>
      <c r="AD80" s="417"/>
      <c r="AE80" s="417"/>
      <c r="AF80" s="417"/>
      <c r="AG80" s="417"/>
      <c r="AH80" s="417"/>
      <c r="AI80" s="417"/>
      <c r="AJ80" s="417"/>
      <c r="AK80" s="417"/>
      <c r="AL80" s="417"/>
      <c r="AM80" s="417"/>
      <c r="AN80" s="417"/>
      <c r="AO80" s="417"/>
      <c r="AP80" s="417"/>
      <c r="AQ80" s="417"/>
      <c r="AR80" s="417"/>
    </row>
    <row r="81" spans="1:44" x14ac:dyDescent="0.2">
      <c r="A81" s="380"/>
      <c r="B81" s="380" t="s">
        <v>178</v>
      </c>
      <c r="C81" s="52" t="s">
        <v>120</v>
      </c>
      <c r="D81" s="428">
        <f>Inputs!E126</f>
        <v>2046</v>
      </c>
      <c r="E81" s="380"/>
      <c r="F81" s="417"/>
      <c r="G81" s="417"/>
      <c r="H81" s="417"/>
      <c r="I81" s="417"/>
      <c r="J81" s="417"/>
      <c r="K81" s="417"/>
      <c r="L81" s="417"/>
      <c r="M81" s="417"/>
      <c r="N81" s="417"/>
      <c r="O81" s="417"/>
      <c r="P81" s="417"/>
      <c r="Q81" s="417"/>
      <c r="R81" s="417"/>
      <c r="S81" s="417"/>
      <c r="T81" s="417"/>
      <c r="U81" s="417"/>
      <c r="V81" s="417"/>
      <c r="W81" s="417"/>
      <c r="X81" s="417"/>
      <c r="Y81" s="417"/>
      <c r="Z81" s="417"/>
      <c r="AA81" s="417"/>
      <c r="AB81" s="417"/>
      <c r="AC81" s="417"/>
      <c r="AD81" s="417"/>
      <c r="AE81" s="417"/>
      <c r="AF81" s="417"/>
      <c r="AG81" s="417"/>
      <c r="AH81" s="417"/>
      <c r="AI81" s="417"/>
      <c r="AJ81" s="417"/>
      <c r="AK81" s="417"/>
      <c r="AL81" s="417"/>
      <c r="AM81" s="417"/>
      <c r="AN81" s="417"/>
      <c r="AO81" s="417"/>
      <c r="AP81" s="417"/>
      <c r="AQ81" s="417"/>
      <c r="AR81" s="417"/>
    </row>
    <row r="82" spans="1:44" x14ac:dyDescent="0.2">
      <c r="A82" s="380"/>
      <c r="B82" s="380" t="s">
        <v>301</v>
      </c>
      <c r="C82" s="52" t="s">
        <v>172</v>
      </c>
      <c r="D82" s="459">
        <f>(D80-D78)/(D81-D79)</f>
        <v>0.15</v>
      </c>
      <c r="E82" s="380"/>
      <c r="F82" s="417"/>
      <c r="G82" s="417"/>
      <c r="H82" s="417"/>
      <c r="I82" s="417"/>
      <c r="J82" s="417"/>
      <c r="K82" s="417"/>
      <c r="L82" s="417"/>
      <c r="M82" s="417"/>
      <c r="N82" s="417"/>
      <c r="O82" s="417"/>
      <c r="P82" s="417"/>
      <c r="Q82" s="417"/>
      <c r="R82" s="417"/>
      <c r="S82" s="417"/>
      <c r="T82" s="417"/>
      <c r="U82" s="417"/>
      <c r="V82" s="417"/>
      <c r="W82" s="417"/>
      <c r="X82" s="417"/>
      <c r="Y82" s="417"/>
      <c r="Z82" s="417"/>
      <c r="AA82" s="417"/>
      <c r="AB82" s="417"/>
      <c r="AC82" s="417"/>
      <c r="AD82" s="417"/>
      <c r="AE82" s="417"/>
      <c r="AF82" s="417"/>
      <c r="AG82" s="417"/>
      <c r="AH82" s="417"/>
      <c r="AI82" s="417"/>
      <c r="AJ82" s="417"/>
      <c r="AK82" s="417"/>
      <c r="AL82" s="417"/>
      <c r="AM82" s="417"/>
      <c r="AN82" s="417"/>
      <c r="AO82" s="417"/>
      <c r="AP82" s="417"/>
      <c r="AQ82" s="417"/>
      <c r="AR82" s="417"/>
    </row>
    <row r="83" spans="1:44" x14ac:dyDescent="0.2">
      <c r="A83" s="380"/>
      <c r="B83" s="380" t="s">
        <v>302</v>
      </c>
      <c r="C83" s="52" t="s">
        <v>106</v>
      </c>
      <c r="D83" s="453"/>
      <c r="E83" s="380"/>
      <c r="F83" s="417">
        <f t="shared" ref="F83:AG83" si="110">IF(F$7&gt;$D$62,1,0)</f>
        <v>0</v>
      </c>
      <c r="G83" s="417">
        <f t="shared" si="110"/>
        <v>0</v>
      </c>
      <c r="H83" s="417">
        <f t="shared" si="110"/>
        <v>0</v>
      </c>
      <c r="I83" s="417">
        <f t="shared" si="110"/>
        <v>0</v>
      </c>
      <c r="J83" s="417">
        <f t="shared" si="110"/>
        <v>0</v>
      </c>
      <c r="K83" s="417">
        <f t="shared" si="110"/>
        <v>0</v>
      </c>
      <c r="L83" s="417">
        <f t="shared" si="110"/>
        <v>1</v>
      </c>
      <c r="M83" s="417">
        <f t="shared" si="110"/>
        <v>1</v>
      </c>
      <c r="N83" s="417">
        <f t="shared" si="110"/>
        <v>1</v>
      </c>
      <c r="O83" s="417">
        <f t="shared" si="110"/>
        <v>1</v>
      </c>
      <c r="P83" s="417">
        <f t="shared" si="110"/>
        <v>1</v>
      </c>
      <c r="Q83" s="417">
        <f t="shared" si="110"/>
        <v>1</v>
      </c>
      <c r="R83" s="417">
        <f t="shared" si="110"/>
        <v>1</v>
      </c>
      <c r="S83" s="417">
        <f t="shared" si="110"/>
        <v>1</v>
      </c>
      <c r="T83" s="417">
        <f t="shared" si="110"/>
        <v>1</v>
      </c>
      <c r="U83" s="417">
        <f t="shared" si="110"/>
        <v>1</v>
      </c>
      <c r="V83" s="417">
        <f t="shared" si="110"/>
        <v>1</v>
      </c>
      <c r="W83" s="417">
        <f t="shared" si="110"/>
        <v>1</v>
      </c>
      <c r="X83" s="417">
        <f t="shared" si="110"/>
        <v>1</v>
      </c>
      <c r="Y83" s="417">
        <f t="shared" si="110"/>
        <v>1</v>
      </c>
      <c r="Z83" s="417">
        <f t="shared" si="110"/>
        <v>1</v>
      </c>
      <c r="AA83" s="417">
        <f t="shared" si="110"/>
        <v>1</v>
      </c>
      <c r="AB83" s="417">
        <f t="shared" si="110"/>
        <v>1</v>
      </c>
      <c r="AC83" s="417">
        <f t="shared" si="110"/>
        <v>1</v>
      </c>
      <c r="AD83" s="417">
        <f t="shared" si="110"/>
        <v>1</v>
      </c>
      <c r="AE83" s="417">
        <f t="shared" si="110"/>
        <v>1</v>
      </c>
      <c r="AF83" s="417">
        <f t="shared" si="110"/>
        <v>1</v>
      </c>
      <c r="AG83" s="417">
        <f t="shared" si="110"/>
        <v>1</v>
      </c>
      <c r="AH83" s="417">
        <f>IF(AH$7&gt;$D$62,1,0)</f>
        <v>1</v>
      </c>
      <c r="AI83" s="417">
        <f t="shared" ref="AI83:AR83" si="111">IF(AI$7&gt;$D$62,1,0)</f>
        <v>1</v>
      </c>
      <c r="AJ83" s="417">
        <f t="shared" si="111"/>
        <v>1</v>
      </c>
      <c r="AK83" s="417">
        <f t="shared" si="111"/>
        <v>1</v>
      </c>
      <c r="AL83" s="417">
        <f t="shared" si="111"/>
        <v>1</v>
      </c>
      <c r="AM83" s="417">
        <f t="shared" si="111"/>
        <v>1</v>
      </c>
      <c r="AN83" s="417">
        <f t="shared" si="111"/>
        <v>1</v>
      </c>
      <c r="AO83" s="417">
        <f t="shared" si="111"/>
        <v>1</v>
      </c>
      <c r="AP83" s="417">
        <f t="shared" si="111"/>
        <v>1</v>
      </c>
      <c r="AQ83" s="417">
        <f t="shared" si="111"/>
        <v>1</v>
      </c>
      <c r="AR83" s="417">
        <f t="shared" si="111"/>
        <v>1</v>
      </c>
    </row>
    <row r="84" spans="1:44" ht="15" x14ac:dyDescent="0.25">
      <c r="A84" s="2"/>
      <c r="B84" s="380" t="s">
        <v>323</v>
      </c>
      <c r="C84" s="52" t="s">
        <v>172</v>
      </c>
      <c r="D84" s="432">
        <f>SUM(F84:AR84)</f>
        <v>197.62500000000011</v>
      </c>
      <c r="E84" s="380"/>
      <c r="F84" s="432">
        <f t="shared" ref="F84:J84" si="112">E84+F78+F83*$D82</f>
        <v>0</v>
      </c>
      <c r="G84" s="432">
        <f t="shared" si="112"/>
        <v>0</v>
      </c>
      <c r="H84" s="432">
        <f t="shared" si="112"/>
        <v>0</v>
      </c>
      <c r="I84" s="432">
        <f t="shared" si="112"/>
        <v>0</v>
      </c>
      <c r="J84" s="432">
        <f t="shared" si="112"/>
        <v>0</v>
      </c>
      <c r="K84" s="432">
        <f>J84+K78+K83*$D82</f>
        <v>3.3374999999999999</v>
      </c>
      <c r="L84" s="432">
        <f t="shared" ref="L84:AR84" si="113">K84+L78+L83*$D82</f>
        <v>3.4874999999999998</v>
      </c>
      <c r="M84" s="432">
        <f t="shared" si="113"/>
        <v>3.6374999999999997</v>
      </c>
      <c r="N84" s="432">
        <f t="shared" si="113"/>
        <v>3.7874999999999996</v>
      </c>
      <c r="O84" s="432">
        <f t="shared" si="113"/>
        <v>3.9374999999999996</v>
      </c>
      <c r="P84" s="432">
        <f t="shared" si="113"/>
        <v>4.0874999999999995</v>
      </c>
      <c r="Q84" s="432">
        <f t="shared" si="113"/>
        <v>4.2374999999999998</v>
      </c>
      <c r="R84" s="432">
        <f t="shared" si="113"/>
        <v>4.3875000000000002</v>
      </c>
      <c r="S84" s="432">
        <f t="shared" si="113"/>
        <v>4.5375000000000005</v>
      </c>
      <c r="T84" s="432">
        <f t="shared" si="113"/>
        <v>4.6875000000000009</v>
      </c>
      <c r="U84" s="432">
        <f t="shared" si="113"/>
        <v>4.8375000000000012</v>
      </c>
      <c r="V84" s="432">
        <f t="shared" si="113"/>
        <v>4.9875000000000016</v>
      </c>
      <c r="W84" s="432">
        <f t="shared" si="113"/>
        <v>5.137500000000002</v>
      </c>
      <c r="X84" s="432">
        <f t="shared" si="113"/>
        <v>5.2875000000000023</v>
      </c>
      <c r="Y84" s="432">
        <f t="shared" si="113"/>
        <v>5.4375000000000027</v>
      </c>
      <c r="Z84" s="432">
        <f t="shared" si="113"/>
        <v>5.587500000000003</v>
      </c>
      <c r="AA84" s="432">
        <f t="shared" si="113"/>
        <v>5.7375000000000034</v>
      </c>
      <c r="AB84" s="432">
        <f t="shared" si="113"/>
        <v>5.8875000000000037</v>
      </c>
      <c r="AC84" s="432">
        <f t="shared" si="113"/>
        <v>6.0375000000000041</v>
      </c>
      <c r="AD84" s="432">
        <f t="shared" si="113"/>
        <v>6.1875000000000044</v>
      </c>
      <c r="AE84" s="432">
        <f t="shared" si="113"/>
        <v>6.3375000000000048</v>
      </c>
      <c r="AF84" s="432">
        <f t="shared" si="113"/>
        <v>6.4875000000000052</v>
      </c>
      <c r="AG84" s="432">
        <f t="shared" si="113"/>
        <v>6.6375000000000055</v>
      </c>
      <c r="AH84" s="432">
        <f t="shared" si="113"/>
        <v>6.7875000000000059</v>
      </c>
      <c r="AI84" s="432">
        <f t="shared" si="113"/>
        <v>6.9375000000000062</v>
      </c>
      <c r="AJ84" s="432">
        <f t="shared" si="113"/>
        <v>7.0875000000000066</v>
      </c>
      <c r="AK84" s="432">
        <f t="shared" si="113"/>
        <v>7.2375000000000069</v>
      </c>
      <c r="AL84" s="432">
        <f t="shared" si="113"/>
        <v>7.3875000000000073</v>
      </c>
      <c r="AM84" s="432">
        <f t="shared" si="113"/>
        <v>7.5375000000000076</v>
      </c>
      <c r="AN84" s="432">
        <f t="shared" si="113"/>
        <v>7.687500000000008</v>
      </c>
      <c r="AO84" s="432">
        <f t="shared" si="113"/>
        <v>7.8375000000000083</v>
      </c>
      <c r="AP84" s="432">
        <f t="shared" si="113"/>
        <v>7.9875000000000087</v>
      </c>
      <c r="AQ84" s="432">
        <f t="shared" si="113"/>
        <v>8.1375000000000082</v>
      </c>
      <c r="AR84" s="432">
        <f t="shared" si="113"/>
        <v>8.2875000000000085</v>
      </c>
    </row>
    <row r="85" spans="1:44" ht="15" x14ac:dyDescent="0.25">
      <c r="A85" s="2"/>
      <c r="B85" s="380" t="s">
        <v>324</v>
      </c>
      <c r="C85" s="52" t="s">
        <v>325</v>
      </c>
      <c r="D85" s="432">
        <f>Inputs!$E$33</f>
        <v>1000</v>
      </c>
      <c r="E85" s="380"/>
      <c r="F85" s="432"/>
      <c r="G85" s="432"/>
      <c r="H85" s="432"/>
      <c r="I85" s="432"/>
      <c r="J85" s="432"/>
      <c r="K85" s="432"/>
      <c r="L85" s="432"/>
      <c r="M85" s="432"/>
      <c r="N85" s="432"/>
      <c r="O85" s="432"/>
      <c r="P85" s="432"/>
      <c r="Q85" s="432"/>
      <c r="R85" s="432"/>
      <c r="S85" s="432"/>
      <c r="T85" s="432"/>
      <c r="U85" s="432"/>
      <c r="V85" s="432"/>
      <c r="W85" s="432"/>
      <c r="X85" s="432"/>
      <c r="Y85" s="432"/>
      <c r="Z85" s="432"/>
      <c r="AA85" s="432"/>
      <c r="AB85" s="432"/>
      <c r="AC85" s="432"/>
      <c r="AD85" s="432"/>
      <c r="AE85" s="432"/>
      <c r="AF85" s="432"/>
      <c r="AG85" s="432"/>
      <c r="AH85" s="432"/>
      <c r="AI85" s="432"/>
      <c r="AJ85" s="432"/>
      <c r="AK85" s="432"/>
      <c r="AL85" s="432"/>
      <c r="AM85" s="432"/>
      <c r="AN85" s="432"/>
      <c r="AO85" s="432"/>
      <c r="AP85" s="432"/>
      <c r="AQ85" s="432"/>
      <c r="AR85" s="432"/>
    </row>
    <row r="86" spans="1:44" ht="15" x14ac:dyDescent="0.25">
      <c r="A86" s="2"/>
      <c r="B86" s="380" t="s">
        <v>326</v>
      </c>
      <c r="C86" s="52" t="s">
        <v>327</v>
      </c>
      <c r="D86" s="432">
        <f>Inputs!$E$32</f>
        <v>365</v>
      </c>
      <c r="E86" s="380"/>
      <c r="F86" s="432"/>
      <c r="G86" s="432"/>
      <c r="H86" s="432"/>
      <c r="I86" s="432"/>
      <c r="J86" s="432"/>
      <c r="K86" s="432"/>
      <c r="L86" s="432"/>
      <c r="M86" s="432"/>
      <c r="N86" s="432"/>
      <c r="O86" s="432"/>
      <c r="P86" s="432"/>
      <c r="Q86" s="432"/>
      <c r="R86" s="432"/>
      <c r="S86" s="432"/>
      <c r="T86" s="432"/>
      <c r="U86" s="432"/>
      <c r="V86" s="432"/>
      <c r="W86" s="432"/>
      <c r="X86" s="432"/>
      <c r="Y86" s="432"/>
      <c r="Z86" s="432"/>
      <c r="AA86" s="432"/>
      <c r="AB86" s="432"/>
      <c r="AC86" s="432"/>
      <c r="AD86" s="432"/>
      <c r="AE86" s="432"/>
      <c r="AF86" s="432"/>
      <c r="AG86" s="432"/>
      <c r="AH86" s="432"/>
      <c r="AI86" s="432"/>
      <c r="AJ86" s="432"/>
      <c r="AK86" s="432"/>
      <c r="AL86" s="432"/>
      <c r="AM86" s="432"/>
      <c r="AN86" s="432"/>
      <c r="AO86" s="432"/>
      <c r="AP86" s="432"/>
      <c r="AQ86" s="432"/>
      <c r="AR86" s="432"/>
    </row>
    <row r="87" spans="1:44" ht="15" x14ac:dyDescent="0.25">
      <c r="A87" s="2"/>
      <c r="B87" s="380" t="s">
        <v>323</v>
      </c>
      <c r="C87" s="52" t="s">
        <v>328</v>
      </c>
      <c r="D87" s="432">
        <f>SUM(F87:AR87)</f>
        <v>72.133125000000049</v>
      </c>
      <c r="E87" s="380"/>
      <c r="F87" s="432">
        <f t="shared" ref="F87" si="114">F84*$D86/$D85</f>
        <v>0</v>
      </c>
      <c r="G87" s="432">
        <f t="shared" ref="G87" si="115">G84*$D86/$D85</f>
        <v>0</v>
      </c>
      <c r="H87" s="432">
        <f t="shared" ref="H87" si="116">H84*$D86/$D85</f>
        <v>0</v>
      </c>
      <c r="I87" s="432">
        <f t="shared" ref="I87" si="117">I84*$D86/$D85</f>
        <v>0</v>
      </c>
      <c r="J87" s="432">
        <f t="shared" ref="J87" si="118">J84*$D86/$D85</f>
        <v>0</v>
      </c>
      <c r="K87" s="432">
        <f t="shared" ref="K87" si="119">K84*$D86/$D85</f>
        <v>1.2181875</v>
      </c>
      <c r="L87" s="432">
        <f t="shared" ref="L87" si="120">L84*$D86/$D85</f>
        <v>1.2729375000000001</v>
      </c>
      <c r="M87" s="432">
        <f t="shared" ref="M87" si="121">M84*$D86/$D85</f>
        <v>1.3276874999999999</v>
      </c>
      <c r="N87" s="432">
        <f t="shared" ref="N87" si="122">N84*$D86/$D85</f>
        <v>1.3824374999999998</v>
      </c>
      <c r="O87" s="432">
        <f t="shared" ref="O87" si="123">O84*$D86/$D85</f>
        <v>1.4371874999999998</v>
      </c>
      <c r="P87" s="432">
        <f t="shared" ref="P87" si="124">P84*$D86/$D85</f>
        <v>1.4919374999999997</v>
      </c>
      <c r="Q87" s="432">
        <f t="shared" ref="Q87" si="125">Q84*$D86/$D85</f>
        <v>1.5466875</v>
      </c>
      <c r="R87" s="432">
        <f t="shared" ref="R87" si="126">R84*$D86/$D85</f>
        <v>1.6014375000000001</v>
      </c>
      <c r="S87" s="432">
        <f t="shared" ref="S87" si="127">S84*$D86/$D85</f>
        <v>1.6561875000000001</v>
      </c>
      <c r="T87" s="432">
        <f t="shared" ref="T87" si="128">T84*$D86/$D85</f>
        <v>1.7109375000000002</v>
      </c>
      <c r="U87" s="432">
        <f t="shared" ref="U87" si="129">U84*$D86/$D85</f>
        <v>1.7656875000000005</v>
      </c>
      <c r="V87" s="432">
        <f t="shared" ref="V87" si="130">V84*$D86/$D85</f>
        <v>1.8204375000000006</v>
      </c>
      <c r="W87" s="432">
        <f t="shared" ref="W87" si="131">W84*$D86/$D85</f>
        <v>1.8751875000000007</v>
      </c>
      <c r="X87" s="432">
        <f t="shared" ref="X87" si="132">X84*$D86/$D85</f>
        <v>1.929937500000001</v>
      </c>
      <c r="Y87" s="432">
        <f t="shared" ref="Y87" si="133">Y84*$D86/$D85</f>
        <v>1.9846875000000008</v>
      </c>
      <c r="Z87" s="432">
        <f t="shared" ref="Z87" si="134">Z84*$D86/$D85</f>
        <v>2.0394375000000013</v>
      </c>
      <c r="AA87" s="432">
        <f t="shared" ref="AA87" si="135">AA84*$D86/$D85</f>
        <v>2.0941875000000012</v>
      </c>
      <c r="AB87" s="432">
        <f t="shared" ref="AB87" si="136">AB84*$D86/$D85</f>
        <v>2.1489375000000015</v>
      </c>
      <c r="AC87" s="432">
        <f t="shared" ref="AC87" si="137">AC84*$D86/$D85</f>
        <v>2.2036875000000014</v>
      </c>
      <c r="AD87" s="432">
        <f t="shared" ref="AD87" si="138">AD84*$D86/$D85</f>
        <v>2.2584375000000017</v>
      </c>
      <c r="AE87" s="432">
        <f t="shared" ref="AE87" si="139">AE84*$D86/$D85</f>
        <v>2.313187500000002</v>
      </c>
      <c r="AF87" s="432">
        <f t="shared" ref="AF87" si="140">AF84*$D86/$D85</f>
        <v>2.3679375000000018</v>
      </c>
      <c r="AG87" s="432">
        <f t="shared" ref="AG87" si="141">AG84*$D86/$D85</f>
        <v>2.4226875000000017</v>
      </c>
      <c r="AH87" s="432">
        <f t="shared" ref="AH87" si="142">AH84*$D86/$D85</f>
        <v>2.4774375000000024</v>
      </c>
      <c r="AI87" s="432">
        <f t="shared" ref="AI87" si="143">AI84*$D86/$D85</f>
        <v>2.5321875000000023</v>
      </c>
      <c r="AJ87" s="432">
        <f t="shared" ref="AJ87" si="144">AJ84*$D86/$D85</f>
        <v>2.5869375000000021</v>
      </c>
      <c r="AK87" s="432">
        <f t="shared" ref="AK87" si="145">AK84*$D86/$D85</f>
        <v>2.6416875000000029</v>
      </c>
      <c r="AL87" s="432">
        <f t="shared" ref="AL87" si="146">AL84*$D86/$D85</f>
        <v>2.6964375000000027</v>
      </c>
      <c r="AM87" s="432">
        <f t="shared" ref="AM87" si="147">AM84*$D86/$D85</f>
        <v>2.7511875000000026</v>
      </c>
      <c r="AN87" s="432">
        <f t="shared" ref="AN87" si="148">AN84*$D86/$D85</f>
        <v>2.8059375000000029</v>
      </c>
      <c r="AO87" s="432">
        <f t="shared" ref="AO87" si="149">AO84*$D86/$D85</f>
        <v>2.8606875000000032</v>
      </c>
      <c r="AP87" s="432">
        <f t="shared" ref="AP87" si="150">AP84*$D86/$D85</f>
        <v>2.915437500000003</v>
      </c>
      <c r="AQ87" s="432">
        <f t="shared" ref="AQ87" si="151">AQ84*$D86/$D85</f>
        <v>2.9701875000000033</v>
      </c>
      <c r="AR87" s="432">
        <f t="shared" ref="AR87" si="152">AR84*$D86/$D85</f>
        <v>3.0249375000000032</v>
      </c>
    </row>
    <row r="88" spans="1:44" ht="15" x14ac:dyDescent="0.25">
      <c r="A88" s="2"/>
      <c r="B88" s="380"/>
      <c r="C88" s="52"/>
      <c r="D88" s="432"/>
      <c r="E88" s="380"/>
      <c r="F88" s="432"/>
      <c r="G88" s="432"/>
      <c r="H88" s="432"/>
      <c r="I88" s="432"/>
      <c r="J88" s="432"/>
      <c r="K88" s="432"/>
      <c r="L88" s="432"/>
      <c r="M88" s="432"/>
      <c r="N88" s="432"/>
      <c r="O88" s="432"/>
      <c r="P88" s="432"/>
      <c r="Q88" s="432"/>
      <c r="R88" s="432"/>
      <c r="S88" s="432"/>
      <c r="T88" s="432"/>
      <c r="U88" s="432"/>
      <c r="V88" s="432"/>
      <c r="W88" s="432"/>
      <c r="X88" s="432"/>
      <c r="Y88" s="432"/>
      <c r="Z88" s="432"/>
      <c r="AA88" s="432"/>
      <c r="AB88" s="432"/>
      <c r="AC88" s="432"/>
      <c r="AD88" s="432"/>
      <c r="AE88" s="432"/>
      <c r="AF88" s="432"/>
      <c r="AG88" s="432"/>
      <c r="AH88" s="432"/>
      <c r="AI88" s="432"/>
      <c r="AJ88" s="432"/>
      <c r="AK88" s="432"/>
      <c r="AL88" s="432"/>
      <c r="AM88" s="432"/>
      <c r="AN88" s="432"/>
      <c r="AO88" s="432"/>
      <c r="AP88" s="432"/>
      <c r="AQ88" s="432"/>
      <c r="AR88" s="432"/>
    </row>
    <row r="89" spans="1:44" ht="15" x14ac:dyDescent="0.25">
      <c r="A89" s="380"/>
      <c r="B89" s="2" t="s">
        <v>329</v>
      </c>
      <c r="C89" s="52"/>
      <c r="D89" s="432"/>
      <c r="E89" s="380"/>
      <c r="F89" s="417"/>
      <c r="G89" s="417"/>
      <c r="H89" s="417"/>
      <c r="I89" s="417"/>
      <c r="J89" s="417"/>
      <c r="K89" s="417"/>
      <c r="L89" s="417"/>
      <c r="M89" s="417"/>
      <c r="N89" s="417"/>
      <c r="O89" s="417"/>
      <c r="P89" s="417"/>
      <c r="Q89" s="417"/>
      <c r="R89" s="417"/>
      <c r="S89" s="417"/>
      <c r="T89" s="417"/>
      <c r="U89" s="417"/>
      <c r="V89" s="417"/>
      <c r="W89" s="417"/>
      <c r="X89" s="417"/>
      <c r="Y89" s="417"/>
      <c r="Z89" s="417"/>
      <c r="AA89" s="417"/>
      <c r="AB89" s="417"/>
      <c r="AC89" s="417"/>
      <c r="AD89" s="417"/>
      <c r="AE89" s="417"/>
      <c r="AF89" s="417"/>
      <c r="AG89" s="417"/>
      <c r="AH89" s="417"/>
      <c r="AI89" s="417"/>
      <c r="AJ89" s="417"/>
      <c r="AK89" s="417"/>
      <c r="AL89" s="417"/>
      <c r="AM89" s="417"/>
      <c r="AN89" s="417"/>
      <c r="AO89" s="417"/>
      <c r="AP89" s="417"/>
      <c r="AQ89" s="417"/>
      <c r="AR89" s="417"/>
    </row>
    <row r="90" spans="1:44" x14ac:dyDescent="0.2">
      <c r="A90" s="380"/>
      <c r="B90" s="380" t="s">
        <v>330</v>
      </c>
      <c r="C90" s="52" t="s">
        <v>181</v>
      </c>
      <c r="D90" s="460">
        <f>Inputs!$E$78</f>
        <v>21.1</v>
      </c>
      <c r="E90" s="380"/>
      <c r="F90" s="417">
        <f>IFERROR(HLOOKUP(F$7,Inputs!$H$129:$AJ$133,2),0)</f>
        <v>0</v>
      </c>
      <c r="G90" s="417">
        <f>IFERROR(HLOOKUP(G$7,Inputs!$H$129:$AJ$133,2),0)</f>
        <v>0</v>
      </c>
      <c r="H90" s="417">
        <f>IFERROR(HLOOKUP(H$7,Inputs!$H$129:$AJ$133,2),0)</f>
        <v>0</v>
      </c>
      <c r="I90" s="417">
        <f>IFERROR(HLOOKUP(I$7,Inputs!$H$129:$AJ$133,2),0)</f>
        <v>0</v>
      </c>
      <c r="J90" s="417">
        <f>IFERROR(HLOOKUP(J$7,Inputs!$H$129:$AJ$133,2),0)</f>
        <v>0</v>
      </c>
      <c r="K90" s="417">
        <f>IFERROR(HLOOKUP(K$7,Inputs!$H$129:$AJ$133,2),0)</f>
        <v>19800</v>
      </c>
      <c r="L90" s="417">
        <f>IFERROR(HLOOKUP(L$7,Inputs!$H$129:$AJ$133,2),0)</f>
        <v>20100</v>
      </c>
      <c r="M90" s="417">
        <f>IFERROR(HLOOKUP(M$7,Inputs!$H$129:$AJ$133,2),0)</f>
        <v>20300</v>
      </c>
      <c r="N90" s="417">
        <f>IFERROR(HLOOKUP(N$7,Inputs!$H$129:$AJ$133,2),0)</f>
        <v>20600</v>
      </c>
      <c r="O90" s="417">
        <f>IFERROR(HLOOKUP(O$7,Inputs!$H$129:$AJ$133,2),0)</f>
        <v>21000</v>
      </c>
      <c r="P90" s="417">
        <f>IFERROR(HLOOKUP(P$7,Inputs!$H$129:$AJ$133,2),0)</f>
        <v>21300</v>
      </c>
      <c r="Q90" s="417">
        <f>IFERROR(HLOOKUP(Q$7,Inputs!$H$129:$AJ$133,2),0)</f>
        <v>21700</v>
      </c>
      <c r="R90" s="417">
        <f>IFERROR(HLOOKUP(R$7,Inputs!$H$129:$AJ$133,2),0)</f>
        <v>22000</v>
      </c>
      <c r="S90" s="417">
        <f>IFERROR(HLOOKUP(S$7,Inputs!$H$129:$AJ$133,2),0)</f>
        <v>22000</v>
      </c>
      <c r="T90" s="417">
        <f>IFERROR(HLOOKUP(T$7,Inputs!$H$129:$AJ$133,2),0)</f>
        <v>22000</v>
      </c>
      <c r="U90" s="417">
        <f>IFERROR(HLOOKUP(U$7,Inputs!$H$129:$AJ$133,2),0)</f>
        <v>22000</v>
      </c>
      <c r="V90" s="417">
        <f>IFERROR(HLOOKUP(V$7,Inputs!$H$129:$AJ$133,2),0)</f>
        <v>22000</v>
      </c>
      <c r="W90" s="417">
        <f>IFERROR(HLOOKUP(W$7,Inputs!$H$129:$AJ$133,2),0)</f>
        <v>22000</v>
      </c>
      <c r="X90" s="417">
        <f>IFERROR(HLOOKUP(X$7,Inputs!$H$129:$AJ$133,2),0)</f>
        <v>22000</v>
      </c>
      <c r="Y90" s="417">
        <f>IFERROR(HLOOKUP(Y$7,Inputs!$H$129:$AJ$133,2),0)</f>
        <v>22000</v>
      </c>
      <c r="Z90" s="417">
        <f>IFERROR(HLOOKUP(Z$7,Inputs!$H$129:$AJ$133,2),0)</f>
        <v>22000</v>
      </c>
      <c r="AA90" s="417">
        <f>IFERROR(HLOOKUP(AA$7,Inputs!$H$129:$AJ$133,2),0)</f>
        <v>22000</v>
      </c>
      <c r="AB90" s="417">
        <f>IFERROR(HLOOKUP(AB$7,Inputs!$H$129:$AJ$133,2),0)</f>
        <v>22000</v>
      </c>
      <c r="AC90" s="417">
        <f>IFERROR(HLOOKUP(AC$7,Inputs!$H$129:$AJ$133,2),0)</f>
        <v>22000</v>
      </c>
      <c r="AD90" s="417">
        <f>IFERROR(HLOOKUP(AD$7,Inputs!$H$129:$AJ$133,2),0)</f>
        <v>22000</v>
      </c>
      <c r="AE90" s="417">
        <f>IFERROR(HLOOKUP(AE$7,Inputs!$H$129:$AJ$133,2),0)</f>
        <v>22000</v>
      </c>
      <c r="AF90" s="417">
        <f>IFERROR(HLOOKUP(AF$7,Inputs!$H$129:$AJ$133,2),0)</f>
        <v>22000</v>
      </c>
      <c r="AG90" s="417">
        <f>IFERROR(HLOOKUP(AG$7,Inputs!$H$129:$AJ$133,2),0)</f>
        <v>22000</v>
      </c>
      <c r="AH90" s="417">
        <f>IFERROR(HLOOKUP(AH$7,Inputs!$H$129:$AJ$133,2),0)</f>
        <v>22000</v>
      </c>
      <c r="AI90" s="417">
        <f>IFERROR(HLOOKUP(AI$7,Inputs!$H$129:$AJ$133,2),0)</f>
        <v>22000</v>
      </c>
      <c r="AJ90" s="417">
        <f>IFERROR(HLOOKUP(AJ$7,Inputs!$H$129:$AJ$133,2),0)</f>
        <v>22000</v>
      </c>
      <c r="AK90" s="417">
        <f>IFERROR(HLOOKUP(AK$7,Inputs!$H$129:$AJ$133,2),0)</f>
        <v>22000</v>
      </c>
      <c r="AL90" s="417">
        <f>IFERROR(HLOOKUP(AL$7,Inputs!$H$129:$AJ$133,2),0)</f>
        <v>22000</v>
      </c>
      <c r="AM90" s="417">
        <f>IFERROR(HLOOKUP(AM$7,Inputs!$H$129:$AJ$133,2),0)</f>
        <v>22000</v>
      </c>
      <c r="AN90" s="417">
        <f>IFERROR(HLOOKUP(AN$7,Inputs!$H$129:$AJ$133,2),0)</f>
        <v>22000</v>
      </c>
      <c r="AO90" s="417">
        <f>IFERROR(HLOOKUP(AO$7,Inputs!$H$129:$AJ$133,2),0)</f>
        <v>22000</v>
      </c>
      <c r="AP90" s="417">
        <f>IFERROR(HLOOKUP(AP$7,Inputs!$H$129:$AJ$133,2),0)</f>
        <v>22000</v>
      </c>
      <c r="AQ90" s="417">
        <f>IFERROR(HLOOKUP(AQ$7,Inputs!$H$129:$AJ$133,2),0)</f>
        <v>22000</v>
      </c>
      <c r="AR90" s="417">
        <f>IFERROR(HLOOKUP(AR$7,Inputs!$H$129:$AJ$133,2),0)</f>
        <v>22000</v>
      </c>
    </row>
    <row r="91" spans="1:44" ht="15" x14ac:dyDescent="0.25">
      <c r="A91" s="2"/>
      <c r="B91" s="380" t="s">
        <v>329</v>
      </c>
      <c r="C91" s="11" t="s">
        <v>331</v>
      </c>
      <c r="D91" s="417">
        <f>SUM(F91:AR91)</f>
        <v>1574692.125</v>
      </c>
      <c r="E91" s="380"/>
      <c r="F91" s="417">
        <f t="shared" ref="F91" si="153">F87*F90</f>
        <v>0</v>
      </c>
      <c r="G91" s="417">
        <f t="shared" ref="G91" si="154">G87*G90</f>
        <v>0</v>
      </c>
      <c r="H91" s="417">
        <f t="shared" ref="H91" si="155">H87*H90</f>
        <v>0</v>
      </c>
      <c r="I91" s="417">
        <f t="shared" ref="I91" si="156">I87*I90</f>
        <v>0</v>
      </c>
      <c r="J91" s="417">
        <f t="shared" ref="J91" si="157">J87*J90</f>
        <v>0</v>
      </c>
      <c r="K91" s="417">
        <f>K87*K90</f>
        <v>24120.112499999999</v>
      </c>
      <c r="L91" s="417">
        <f t="shared" ref="L91" si="158">L87*L90</f>
        <v>25586.043750000001</v>
      </c>
      <c r="M91" s="417">
        <f t="shared" ref="M91" si="159">M87*M90</f>
        <v>26952.056249999998</v>
      </c>
      <c r="N91" s="417">
        <f t="shared" ref="N91" si="160">N87*N90</f>
        <v>28478.212499999994</v>
      </c>
      <c r="O91" s="417">
        <f t="shared" ref="O91" si="161">O87*O90</f>
        <v>30180.937499999996</v>
      </c>
      <c r="P91" s="417">
        <f t="shared" ref="P91" si="162">P87*P90</f>
        <v>31778.268749999992</v>
      </c>
      <c r="Q91" s="417">
        <f t="shared" ref="Q91" si="163">Q87*Q90</f>
        <v>33563.118750000001</v>
      </c>
      <c r="R91" s="417">
        <f t="shared" ref="R91" si="164">R87*R90</f>
        <v>35231.625</v>
      </c>
      <c r="S91" s="417">
        <f t="shared" ref="S91" si="165">S87*S90</f>
        <v>36436.125</v>
      </c>
      <c r="T91" s="417">
        <f t="shared" ref="T91" si="166">T87*T90</f>
        <v>37640.625000000007</v>
      </c>
      <c r="U91" s="417">
        <f t="shared" ref="U91" si="167">U87*U90</f>
        <v>38845.125000000015</v>
      </c>
      <c r="V91" s="417">
        <f t="shared" ref="V91" si="168">V87*V90</f>
        <v>40049.625000000015</v>
      </c>
      <c r="W91" s="417">
        <f t="shared" ref="W91" si="169">W87*W90</f>
        <v>41254.125000000015</v>
      </c>
      <c r="X91" s="417">
        <f t="shared" ref="X91" si="170">X87*X90</f>
        <v>42458.625000000022</v>
      </c>
      <c r="Y91" s="417">
        <f t="shared" ref="Y91" si="171">Y87*Y90</f>
        <v>43663.125000000015</v>
      </c>
      <c r="Z91" s="417">
        <f t="shared" ref="Z91" si="172">Z87*Z90</f>
        <v>44867.625000000029</v>
      </c>
      <c r="AA91" s="417">
        <f t="shared" ref="AA91" si="173">AA87*AA90</f>
        <v>46072.125000000029</v>
      </c>
      <c r="AB91" s="417">
        <f t="shared" ref="AB91" si="174">AB87*AB90</f>
        <v>47276.625000000036</v>
      </c>
      <c r="AC91" s="417">
        <f t="shared" ref="AC91" si="175">AC87*AC90</f>
        <v>48481.125000000029</v>
      </c>
      <c r="AD91" s="417">
        <f t="shared" ref="AD91" si="176">AD87*AD90</f>
        <v>49685.625000000036</v>
      </c>
      <c r="AE91" s="417">
        <f t="shared" ref="AE91" si="177">AE87*AE90</f>
        <v>50890.125000000044</v>
      </c>
      <c r="AF91" s="417">
        <f t="shared" ref="AF91" si="178">AF87*AF90</f>
        <v>52094.625000000036</v>
      </c>
      <c r="AG91" s="417">
        <f t="shared" ref="AG91" si="179">AG87*AG90</f>
        <v>53299.125000000036</v>
      </c>
      <c r="AH91" s="417">
        <f t="shared" ref="AH91" si="180">AH87*AH90</f>
        <v>54503.625000000051</v>
      </c>
      <c r="AI91" s="417">
        <f t="shared" ref="AI91" si="181">AI87*AI90</f>
        <v>55708.125000000051</v>
      </c>
      <c r="AJ91" s="417">
        <f t="shared" ref="AJ91" si="182">AJ87*AJ90</f>
        <v>56912.625000000044</v>
      </c>
      <c r="AK91" s="417">
        <f t="shared" ref="AK91" si="183">AK87*AK90</f>
        <v>58117.125000000065</v>
      </c>
      <c r="AL91" s="417">
        <f t="shared" ref="AL91" si="184">AL87*AL90</f>
        <v>59321.625000000058</v>
      </c>
      <c r="AM91" s="417">
        <f t="shared" ref="AM91" si="185">AM87*AM90</f>
        <v>60526.125000000058</v>
      </c>
      <c r="AN91" s="417">
        <f t="shared" ref="AN91" si="186">AN87*AN90</f>
        <v>61730.625000000065</v>
      </c>
      <c r="AO91" s="417">
        <f t="shared" ref="AO91" si="187">AO87*AO90</f>
        <v>62935.125000000073</v>
      </c>
      <c r="AP91" s="417">
        <f t="shared" ref="AP91" si="188">AP87*AP90</f>
        <v>64139.625000000065</v>
      </c>
      <c r="AQ91" s="417">
        <f t="shared" ref="AQ91" si="189">AQ87*AQ90</f>
        <v>65344.125000000073</v>
      </c>
      <c r="AR91" s="417">
        <f t="shared" ref="AR91" si="190">AR87*AR90</f>
        <v>66548.625000000073</v>
      </c>
    </row>
    <row r="92" spans="1:44" x14ac:dyDescent="0.2">
      <c r="A92" s="380"/>
      <c r="B92" s="380"/>
      <c r="C92" s="11"/>
      <c r="D92" s="440"/>
      <c r="E92" s="380"/>
      <c r="F92" s="417"/>
      <c r="G92" s="417"/>
      <c r="H92" s="417"/>
      <c r="I92" s="417"/>
      <c r="J92" s="417"/>
      <c r="K92" s="417"/>
      <c r="L92" s="417"/>
      <c r="M92" s="417"/>
      <c r="N92" s="417"/>
      <c r="O92" s="417"/>
      <c r="P92" s="417"/>
      <c r="Q92" s="417"/>
      <c r="R92" s="417"/>
      <c r="S92" s="417"/>
      <c r="T92" s="417"/>
      <c r="U92" s="417"/>
      <c r="V92" s="417"/>
      <c r="W92" s="417"/>
      <c r="X92" s="417"/>
      <c r="Y92" s="417"/>
      <c r="Z92" s="417"/>
      <c r="AA92" s="417"/>
      <c r="AB92" s="417"/>
      <c r="AC92" s="417"/>
      <c r="AD92" s="417"/>
      <c r="AE92" s="417"/>
      <c r="AF92" s="417"/>
      <c r="AG92" s="417"/>
      <c r="AH92" s="417"/>
      <c r="AI92" s="417"/>
      <c r="AJ92" s="417"/>
      <c r="AK92" s="417"/>
      <c r="AL92" s="417"/>
      <c r="AM92" s="417"/>
      <c r="AN92" s="417"/>
      <c r="AO92" s="417"/>
      <c r="AP92" s="417"/>
      <c r="AQ92" s="417"/>
      <c r="AR92" s="417"/>
    </row>
    <row r="93" spans="1:44" ht="15" x14ac:dyDescent="0.25">
      <c r="A93" s="2" t="s">
        <v>319</v>
      </c>
      <c r="B93" s="380"/>
      <c r="C93" s="52"/>
      <c r="D93" s="440"/>
      <c r="E93" s="380"/>
      <c r="F93" s="417"/>
      <c r="G93" s="417"/>
      <c r="H93" s="417"/>
      <c r="I93" s="417"/>
      <c r="J93" s="417"/>
      <c r="K93" s="417"/>
      <c r="L93" s="417"/>
      <c r="M93" s="417"/>
      <c r="N93" s="417"/>
      <c r="O93" s="417"/>
      <c r="P93" s="417"/>
      <c r="Q93" s="417"/>
      <c r="R93" s="417"/>
      <c r="S93" s="417"/>
      <c r="T93" s="417"/>
      <c r="U93" s="417"/>
      <c r="V93" s="417"/>
      <c r="W93" s="417"/>
      <c r="X93" s="417"/>
      <c r="Y93" s="417"/>
      <c r="Z93" s="417"/>
      <c r="AA93" s="417"/>
      <c r="AB93" s="417"/>
      <c r="AC93" s="417"/>
      <c r="AD93" s="417"/>
      <c r="AE93" s="417"/>
      <c r="AF93" s="417"/>
      <c r="AG93" s="417"/>
      <c r="AH93" s="417"/>
      <c r="AI93" s="417"/>
      <c r="AJ93" s="417"/>
      <c r="AK93" s="417"/>
      <c r="AL93" s="417"/>
      <c r="AM93" s="417"/>
      <c r="AN93" s="417"/>
      <c r="AO93" s="417"/>
      <c r="AP93" s="417"/>
      <c r="AQ93" s="417"/>
      <c r="AR93" s="417"/>
    </row>
    <row r="94" spans="1:44" x14ac:dyDescent="0.2">
      <c r="A94" s="380"/>
      <c r="B94" s="380" t="s">
        <v>320</v>
      </c>
      <c r="C94" s="11" t="s">
        <v>310</v>
      </c>
      <c r="D94" s="440">
        <f>SUM(F94:AR94)</f>
        <v>1688013.6178634202</v>
      </c>
      <c r="E94" s="380"/>
      <c r="F94" s="417">
        <f>F74+F91</f>
        <v>0</v>
      </c>
      <c r="G94" s="417">
        <f t="shared" ref="G94:AR94" si="191">G74+G91</f>
        <v>0</v>
      </c>
      <c r="H94" s="417">
        <f t="shared" si="191"/>
        <v>0</v>
      </c>
      <c r="I94" s="417">
        <f t="shared" si="191"/>
        <v>0</v>
      </c>
      <c r="J94" s="417">
        <f t="shared" si="191"/>
        <v>0</v>
      </c>
      <c r="K94" s="417">
        <f t="shared" si="191"/>
        <v>25550.731175726647</v>
      </c>
      <c r="L94" s="417">
        <f t="shared" si="191"/>
        <v>27110.305191660344</v>
      </c>
      <c r="M94" s="417">
        <f t="shared" si="191"/>
        <v>28572.483204492146</v>
      </c>
      <c r="N94" s="417">
        <f t="shared" si="191"/>
        <v>30189.368847489543</v>
      </c>
      <c r="O94" s="417">
        <f t="shared" si="191"/>
        <v>31992.989510755302</v>
      </c>
      <c r="P94" s="417">
        <f t="shared" si="191"/>
        <v>33693.739170919165</v>
      </c>
      <c r="Q94" s="417">
        <f t="shared" si="191"/>
        <v>35575.625431161847</v>
      </c>
      <c r="R94" s="417">
        <f t="shared" si="191"/>
        <v>37352.280241759661</v>
      </c>
      <c r="S94" s="417">
        <f t="shared" si="191"/>
        <v>38667.451549255587</v>
      </c>
      <c r="T94" s="417">
        <f t="shared" si="191"/>
        <v>39975.294676743542</v>
      </c>
      <c r="U94" s="417">
        <f t="shared" si="191"/>
        <v>41295.196134673424</v>
      </c>
      <c r="V94" s="417">
        <f t="shared" si="191"/>
        <v>42617.620339501416</v>
      </c>
      <c r="W94" s="417">
        <f t="shared" si="191"/>
        <v>43931.770334234629</v>
      </c>
      <c r="X94" s="417">
        <f t="shared" si="191"/>
        <v>45258.924689496576</v>
      </c>
      <c r="Y94" s="417">
        <f t="shared" si="191"/>
        <v>46588.60179165662</v>
      </c>
      <c r="Z94" s="417">
        <f t="shared" si="191"/>
        <v>47909.058653635126</v>
      </c>
      <c r="AA94" s="417">
        <f t="shared" si="191"/>
        <v>49243.465906229125</v>
      </c>
      <c r="AB94" s="417">
        <f t="shared" si="191"/>
        <v>50580.395905721249</v>
      </c>
      <c r="AC94" s="417">
        <f t="shared" si="191"/>
        <v>51919.848652111461</v>
      </c>
      <c r="AD94" s="417">
        <f t="shared" si="191"/>
        <v>53261.824145399798</v>
      </c>
      <c r="AE94" s="417">
        <f t="shared" si="191"/>
        <v>54606.322385586238</v>
      </c>
      <c r="AF94" s="417">
        <f t="shared" si="191"/>
        <v>55953.343372670781</v>
      </c>
      <c r="AG94" s="417">
        <f t="shared" si="191"/>
        <v>57302.887106653434</v>
      </c>
      <c r="AH94" s="417">
        <f t="shared" si="191"/>
        <v>58654.953587534212</v>
      </c>
      <c r="AI94" s="417">
        <f t="shared" si="191"/>
        <v>60024.123892653122</v>
      </c>
      <c r="AJ94" s="417">
        <f t="shared" si="191"/>
        <v>61381.551210692363</v>
      </c>
      <c r="AK94" s="417">
        <f t="shared" si="191"/>
        <v>62741.501275629736</v>
      </c>
      <c r="AL94" s="417">
        <f t="shared" si="191"/>
        <v>64103.974087465183</v>
      </c>
      <c r="AM94" s="417">
        <f t="shared" si="191"/>
        <v>65405.599843042364</v>
      </c>
      <c r="AN94" s="417">
        <f t="shared" si="191"/>
        <v>66707.225598619538</v>
      </c>
      <c r="AO94" s="417">
        <f t="shared" si="191"/>
        <v>68008.851354196726</v>
      </c>
      <c r="AP94" s="417">
        <f t="shared" si="191"/>
        <v>69310.477109773899</v>
      </c>
      <c r="AQ94" s="417">
        <f t="shared" si="191"/>
        <v>70612.102865351073</v>
      </c>
      <c r="AR94" s="417">
        <f t="shared" si="191"/>
        <v>71913.728620928247</v>
      </c>
    </row>
    <row r="95" spans="1:44" x14ac:dyDescent="0.2">
      <c r="A95" s="380"/>
      <c r="B95" s="380"/>
      <c r="C95" s="7"/>
      <c r="D95" s="380"/>
      <c r="E95" s="380"/>
      <c r="F95" s="463"/>
      <c r="G95" s="463"/>
      <c r="H95" s="463"/>
      <c r="I95" s="463"/>
      <c r="J95" s="463"/>
      <c r="K95" s="463"/>
      <c r="L95" s="463"/>
      <c r="M95" s="463"/>
      <c r="N95" s="463"/>
      <c r="O95" s="463"/>
      <c r="P95" s="463"/>
      <c r="Q95" s="463"/>
      <c r="R95" s="463"/>
      <c r="S95" s="463"/>
      <c r="T95" s="463"/>
      <c r="U95" s="463"/>
      <c r="V95" s="463"/>
      <c r="W95" s="463"/>
      <c r="X95" s="463"/>
      <c r="Y95" s="463"/>
      <c r="Z95" s="463"/>
      <c r="AA95" s="463"/>
      <c r="AB95" s="463"/>
      <c r="AC95" s="463"/>
      <c r="AD95" s="463"/>
      <c r="AE95" s="463"/>
      <c r="AF95" s="463"/>
      <c r="AG95" s="463"/>
      <c r="AH95" s="463"/>
      <c r="AI95" s="463"/>
      <c r="AJ95" s="463"/>
      <c r="AK95" s="463"/>
      <c r="AL95" s="463"/>
      <c r="AM95" s="463"/>
      <c r="AN95" s="463"/>
      <c r="AO95" s="463"/>
      <c r="AP95" s="463"/>
      <c r="AQ95" s="463"/>
      <c r="AR95" s="463"/>
    </row>
    <row r="96" spans="1:44" s="4" customFormat="1" x14ac:dyDescent="0.2">
      <c r="A96" s="449" t="s">
        <v>296</v>
      </c>
      <c r="B96" s="449"/>
      <c r="C96" s="8"/>
      <c r="D96" s="450"/>
      <c r="E96" s="450"/>
      <c r="F96" s="450"/>
      <c r="G96" s="450"/>
      <c r="H96" s="450"/>
      <c r="I96" s="450"/>
      <c r="J96" s="450"/>
      <c r="K96" s="450"/>
      <c r="L96" s="450"/>
      <c r="M96" s="450"/>
      <c r="N96" s="450"/>
      <c r="O96" s="450"/>
      <c r="P96" s="450"/>
      <c r="Q96" s="450"/>
      <c r="R96" s="450"/>
      <c r="S96" s="450"/>
      <c r="T96" s="450"/>
      <c r="U96" s="450"/>
      <c r="V96" s="450"/>
      <c r="W96" s="450"/>
      <c r="X96" s="450"/>
      <c r="Y96" s="450"/>
      <c r="Z96" s="450"/>
      <c r="AA96" s="450"/>
      <c r="AB96" s="450"/>
      <c r="AC96" s="450"/>
      <c r="AD96" s="450"/>
      <c r="AE96" s="450"/>
      <c r="AF96" s="450"/>
      <c r="AG96" s="450"/>
      <c r="AH96" s="450"/>
      <c r="AI96" s="450"/>
      <c r="AJ96" s="450"/>
      <c r="AK96" s="450"/>
      <c r="AL96" s="450"/>
      <c r="AM96" s="450"/>
      <c r="AN96" s="450"/>
      <c r="AO96" s="450"/>
      <c r="AP96" s="450"/>
      <c r="AQ96" s="450"/>
      <c r="AR96" s="450"/>
    </row>
    <row r="97" spans="1:44" ht="15" x14ac:dyDescent="0.25">
      <c r="A97" s="2" t="s">
        <v>297</v>
      </c>
      <c r="B97" s="380"/>
      <c r="C97" s="380"/>
      <c r="D97" s="380"/>
      <c r="E97" s="380"/>
      <c r="F97" s="417"/>
      <c r="G97" s="417"/>
      <c r="H97" s="417"/>
      <c r="I97" s="417"/>
      <c r="J97" s="417"/>
      <c r="K97" s="417"/>
      <c r="L97" s="417"/>
      <c r="M97" s="417"/>
      <c r="N97" s="417"/>
      <c r="O97" s="417"/>
      <c r="P97" s="417"/>
      <c r="Q97" s="417"/>
      <c r="R97" s="417"/>
      <c r="S97" s="417"/>
      <c r="T97" s="417"/>
      <c r="U97" s="417"/>
      <c r="V97" s="417"/>
      <c r="W97" s="417"/>
      <c r="X97" s="417"/>
      <c r="Y97" s="417"/>
      <c r="Z97" s="417"/>
      <c r="AA97" s="417"/>
      <c r="AB97" s="417"/>
      <c r="AC97" s="417"/>
      <c r="AD97" s="417"/>
      <c r="AE97" s="417"/>
      <c r="AF97" s="417"/>
      <c r="AG97" s="417"/>
      <c r="AH97" s="417"/>
      <c r="AI97" s="417"/>
      <c r="AJ97" s="417"/>
      <c r="AK97" s="417"/>
      <c r="AL97" s="417"/>
      <c r="AM97" s="417"/>
      <c r="AN97" s="417"/>
      <c r="AO97" s="417"/>
      <c r="AP97" s="417"/>
      <c r="AQ97" s="417"/>
      <c r="AR97" s="417"/>
    </row>
    <row r="98" spans="1:44" x14ac:dyDescent="0.2">
      <c r="A98" s="380"/>
      <c r="B98" s="380" t="s">
        <v>252</v>
      </c>
      <c r="C98" s="52" t="s">
        <v>86</v>
      </c>
      <c r="D98" s="440">
        <f>SUM(F98:AR98)</f>
        <v>316044.22616860189</v>
      </c>
      <c r="E98" s="380"/>
      <c r="F98" s="417">
        <f t="shared" ref="F98:AR98" si="192">(F$56-F$94)*F$11*F15</f>
        <v>0</v>
      </c>
      <c r="G98" s="417">
        <f t="shared" si="192"/>
        <v>0</v>
      </c>
      <c r="H98" s="417">
        <f t="shared" si="192"/>
        <v>0</v>
      </c>
      <c r="I98" s="417">
        <f t="shared" si="192"/>
        <v>0</v>
      </c>
      <c r="J98" s="417">
        <f t="shared" si="192"/>
        <v>0</v>
      </c>
      <c r="K98" s="417">
        <f t="shared" si="192"/>
        <v>0</v>
      </c>
      <c r="L98" s="417">
        <f t="shared" si="192"/>
        <v>0</v>
      </c>
      <c r="M98" s="417">
        <f t="shared" si="192"/>
        <v>0</v>
      </c>
      <c r="N98" s="417">
        <f t="shared" si="192"/>
        <v>0</v>
      </c>
      <c r="O98" s="417">
        <f t="shared" si="192"/>
        <v>7661.9934704355546</v>
      </c>
      <c r="P98" s="417">
        <f t="shared" si="192"/>
        <v>8557.1220869180906</v>
      </c>
      <c r="Q98" s="417">
        <f t="shared" si="192"/>
        <v>9513.6538685641062</v>
      </c>
      <c r="R98" s="417">
        <f t="shared" si="192"/>
        <v>10456.906212711154</v>
      </c>
      <c r="S98" s="417">
        <f t="shared" si="192"/>
        <v>11277.675541322758</v>
      </c>
      <c r="T98" s="417">
        <f t="shared" si="192"/>
        <v>12097.06024608665</v>
      </c>
      <c r="U98" s="417">
        <f t="shared" si="192"/>
        <v>12920.824226275799</v>
      </c>
      <c r="V98" s="417">
        <f t="shared" si="192"/>
        <v>13746.185353972971</v>
      </c>
      <c r="W98" s="417">
        <f t="shared" si="192"/>
        <v>14569.562927506951</v>
      </c>
      <c r="X98" s="417">
        <f t="shared" si="192"/>
        <v>15397.918706781682</v>
      </c>
      <c r="Y98" s="417">
        <f t="shared" si="192"/>
        <v>16227.871633564449</v>
      </c>
      <c r="Z98" s="417">
        <f t="shared" si="192"/>
        <v>17055.242075868482</v>
      </c>
      <c r="AA98" s="417">
        <f t="shared" si="192"/>
        <v>17888.189654228794</v>
      </c>
      <c r="AB98" s="417">
        <f t="shared" si="192"/>
        <v>18722.734380097114</v>
      </c>
      <c r="AC98" s="417">
        <f t="shared" si="192"/>
        <v>19558.876253473492</v>
      </c>
      <c r="AD98" s="417">
        <f t="shared" si="192"/>
        <v>20396.615274357879</v>
      </c>
      <c r="AE98" s="417">
        <f t="shared" si="192"/>
        <v>21235.951442750295</v>
      </c>
      <c r="AF98" s="417">
        <f t="shared" si="192"/>
        <v>22076.88475865074</v>
      </c>
      <c r="AG98" s="417">
        <f t="shared" si="192"/>
        <v>22919.415222059222</v>
      </c>
      <c r="AH98" s="417">
        <f t="shared" si="192"/>
        <v>23763.542832975698</v>
      </c>
      <c r="AI98" s="417">
        <f t="shared" si="192"/>
        <v>0</v>
      </c>
      <c r="AJ98" s="417">
        <f t="shared" si="192"/>
        <v>0</v>
      </c>
      <c r="AK98" s="417">
        <f t="shared" si="192"/>
        <v>0</v>
      </c>
      <c r="AL98" s="417">
        <f t="shared" si="192"/>
        <v>0</v>
      </c>
      <c r="AM98" s="417">
        <f t="shared" si="192"/>
        <v>0</v>
      </c>
      <c r="AN98" s="417">
        <f t="shared" si="192"/>
        <v>0</v>
      </c>
      <c r="AO98" s="417">
        <f t="shared" si="192"/>
        <v>0</v>
      </c>
      <c r="AP98" s="417">
        <f t="shared" si="192"/>
        <v>0</v>
      </c>
      <c r="AQ98" s="417">
        <f t="shared" si="192"/>
        <v>0</v>
      </c>
      <c r="AR98" s="417">
        <f t="shared" si="192"/>
        <v>0</v>
      </c>
    </row>
    <row r="99" spans="1:44" x14ac:dyDescent="0.2">
      <c r="A99" s="380"/>
      <c r="B99" s="380" t="str">
        <f>Inputs!$C$30</f>
        <v>2% Discount Factor</v>
      </c>
      <c r="C99" s="52" t="s">
        <v>86</v>
      </c>
      <c r="D99" s="440">
        <f>SUM(F99:AR99)</f>
        <v>234993.83672462069</v>
      </c>
      <c r="E99" s="380"/>
      <c r="F99" s="417">
        <f>(F$56-F$94)*F$11*F16</f>
        <v>0</v>
      </c>
      <c r="G99" s="417">
        <f t="shared" ref="G99:AR99" si="193">(G$56-G$94)*G$11*G16</f>
        <v>0</v>
      </c>
      <c r="H99" s="417">
        <f t="shared" si="193"/>
        <v>0</v>
      </c>
      <c r="I99" s="417">
        <f t="shared" si="193"/>
        <v>0</v>
      </c>
      <c r="J99" s="417">
        <f t="shared" si="193"/>
        <v>0</v>
      </c>
      <c r="K99" s="417">
        <f t="shared" si="193"/>
        <v>0</v>
      </c>
      <c r="L99" s="417">
        <f t="shared" si="193"/>
        <v>0</v>
      </c>
      <c r="M99" s="417">
        <f t="shared" si="193"/>
        <v>0</v>
      </c>
      <c r="N99" s="417">
        <f t="shared" si="193"/>
        <v>0</v>
      </c>
      <c r="O99" s="417">
        <f t="shared" si="193"/>
        <v>7078.4976219069049</v>
      </c>
      <c r="P99" s="417">
        <f t="shared" si="193"/>
        <v>7750.4491175977828</v>
      </c>
      <c r="Q99" s="417">
        <f t="shared" si="193"/>
        <v>8447.8523753098816</v>
      </c>
      <c r="R99" s="417">
        <f t="shared" si="193"/>
        <v>9103.3661402867674</v>
      </c>
      <c r="S99" s="417">
        <f t="shared" si="193"/>
        <v>9625.3874839252039</v>
      </c>
      <c r="T99" s="417">
        <f t="shared" si="193"/>
        <v>10122.278862491803</v>
      </c>
      <c r="U99" s="417">
        <f t="shared" si="193"/>
        <v>10599.576187011071</v>
      </c>
      <c r="V99" s="417">
        <f t="shared" si="193"/>
        <v>11055.548808725969</v>
      </c>
      <c r="W99" s="417">
        <f t="shared" si="193"/>
        <v>11488.000939546731</v>
      </c>
      <c r="X99" s="417">
        <f t="shared" si="193"/>
        <v>11903.091978880864</v>
      </c>
      <c r="Y99" s="417">
        <f t="shared" si="193"/>
        <v>12298.698613303262</v>
      </c>
      <c r="Z99" s="417">
        <f t="shared" si="193"/>
        <v>12672.296085890253</v>
      </c>
      <c r="AA99" s="417">
        <f t="shared" si="193"/>
        <v>13030.576868549244</v>
      </c>
      <c r="AB99" s="417">
        <f t="shared" si="193"/>
        <v>13371.075961240504</v>
      </c>
      <c r="AC99" s="417">
        <f t="shared" si="193"/>
        <v>13694.330572661973</v>
      </c>
      <c r="AD99" s="417">
        <f t="shared" si="193"/>
        <v>14000.864119518332</v>
      </c>
      <c r="AE99" s="417">
        <f t="shared" si="193"/>
        <v>14291.186552245648</v>
      </c>
      <c r="AF99" s="417">
        <f t="shared" si="193"/>
        <v>14565.794673433482</v>
      </c>
      <c r="AG99" s="417">
        <f t="shared" si="193"/>
        <v>14825.172449102562</v>
      </c>
      <c r="AH99" s="417">
        <f t="shared" si="193"/>
        <v>15069.791312992447</v>
      </c>
      <c r="AI99" s="417">
        <f t="shared" si="193"/>
        <v>0</v>
      </c>
      <c r="AJ99" s="417">
        <f t="shared" si="193"/>
        <v>0</v>
      </c>
      <c r="AK99" s="417">
        <f t="shared" si="193"/>
        <v>0</v>
      </c>
      <c r="AL99" s="417">
        <f t="shared" si="193"/>
        <v>0</v>
      </c>
      <c r="AM99" s="417">
        <f t="shared" si="193"/>
        <v>0</v>
      </c>
      <c r="AN99" s="417">
        <f t="shared" si="193"/>
        <v>0</v>
      </c>
      <c r="AO99" s="417">
        <f t="shared" si="193"/>
        <v>0</v>
      </c>
      <c r="AP99" s="417">
        <f t="shared" si="193"/>
        <v>0</v>
      </c>
      <c r="AQ99" s="417">
        <f t="shared" si="193"/>
        <v>0</v>
      </c>
      <c r="AR99" s="417">
        <f t="shared" si="193"/>
        <v>0</v>
      </c>
    </row>
    <row r="100" spans="1:44" x14ac:dyDescent="0.2">
      <c r="A100" s="380"/>
      <c r="B100" s="380" t="str">
        <f>Inputs!$C$31</f>
        <v>3.1% Discount Factor</v>
      </c>
      <c r="C100" s="52" t="s">
        <v>86</v>
      </c>
      <c r="D100" s="440">
        <f>SUM(F100:AR100)</f>
        <v>203366.19250401639</v>
      </c>
      <c r="E100" s="380"/>
      <c r="F100" s="417">
        <f t="shared" ref="F100:N100" si="194">(F$36-F$74)*F$11*F16 + (F$53-F$91)*F$11*F17</f>
        <v>0</v>
      </c>
      <c r="G100" s="417">
        <f t="shared" si="194"/>
        <v>0</v>
      </c>
      <c r="H100" s="417">
        <f t="shared" si="194"/>
        <v>0</v>
      </c>
      <c r="I100" s="417">
        <f t="shared" si="194"/>
        <v>0</v>
      </c>
      <c r="J100" s="417">
        <f t="shared" si="194"/>
        <v>0</v>
      </c>
      <c r="K100" s="417">
        <f t="shared" si="194"/>
        <v>0</v>
      </c>
      <c r="L100" s="417">
        <f t="shared" si="194"/>
        <v>0</v>
      </c>
      <c r="M100" s="417">
        <f t="shared" si="194"/>
        <v>0</v>
      </c>
      <c r="N100" s="417">
        <f t="shared" si="194"/>
        <v>0</v>
      </c>
      <c r="O100" s="417">
        <f>(O$36-O$74)*O$11*O16 + (O$53-O$91)*O$11*O17</f>
        <v>6798.0636457353912</v>
      </c>
      <c r="P100" s="417">
        <f t="shared" ref="P100:AR100" si="195">(P$36-P$74)*P$11*P16 + (P$53-P$91)*P$11*P17</f>
        <v>7368.7473606884178</v>
      </c>
      <c r="Q100" s="417">
        <f t="shared" si="195"/>
        <v>7951.0865509273299</v>
      </c>
      <c r="R100" s="417">
        <f t="shared" si="195"/>
        <v>8482.2662207222547</v>
      </c>
      <c r="S100" s="417">
        <f t="shared" si="195"/>
        <v>8879.5473391130872</v>
      </c>
      <c r="T100" s="417">
        <f t="shared" si="195"/>
        <v>9245.1855664827526</v>
      </c>
      <c r="U100" s="417">
        <f t="shared" si="195"/>
        <v>9585.4357302767348</v>
      </c>
      <c r="V100" s="417">
        <f t="shared" si="195"/>
        <v>9899.245946628198</v>
      </c>
      <c r="W100" s="417">
        <f t="shared" si="195"/>
        <v>10185.060833015934</v>
      </c>
      <c r="X100" s="417">
        <f t="shared" si="195"/>
        <v>10449.643555823859</v>
      </c>
      <c r="Y100" s="417">
        <f t="shared" si="195"/>
        <v>10691.439581928516</v>
      </c>
      <c r="Z100" s="417">
        <f t="shared" si="195"/>
        <v>10908.459533710855</v>
      </c>
      <c r="AA100" s="417">
        <f t="shared" si="195"/>
        <v>11107.899383304186</v>
      </c>
      <c r="AB100" s="417">
        <f t="shared" si="195"/>
        <v>11287.767212366236</v>
      </c>
      <c r="AC100" s="417">
        <f t="shared" si="195"/>
        <v>11449.044294251767</v>
      </c>
      <c r="AD100" s="417">
        <f t="shared" si="195"/>
        <v>11592.670437929812</v>
      </c>
      <c r="AE100" s="417">
        <f t="shared" si="195"/>
        <v>11719.545603659684</v>
      </c>
      <c r="AF100" s="417">
        <f t="shared" si="195"/>
        <v>11830.531458733438</v>
      </c>
      <c r="AG100" s="417">
        <f t="shared" si="195"/>
        <v>11926.45287543413</v>
      </c>
      <c r="AH100" s="417">
        <f t="shared" si="195"/>
        <v>12008.099373283812</v>
      </c>
      <c r="AI100" s="417">
        <f t="shared" si="195"/>
        <v>0</v>
      </c>
      <c r="AJ100" s="417">
        <f t="shared" si="195"/>
        <v>0</v>
      </c>
      <c r="AK100" s="417">
        <f t="shared" si="195"/>
        <v>0</v>
      </c>
      <c r="AL100" s="417">
        <f t="shared" si="195"/>
        <v>0</v>
      </c>
      <c r="AM100" s="417">
        <f t="shared" si="195"/>
        <v>0</v>
      </c>
      <c r="AN100" s="417">
        <f t="shared" si="195"/>
        <v>0</v>
      </c>
      <c r="AO100" s="417">
        <f t="shared" si="195"/>
        <v>0</v>
      </c>
      <c r="AP100" s="417">
        <f t="shared" si="195"/>
        <v>0</v>
      </c>
      <c r="AQ100" s="417">
        <f t="shared" si="195"/>
        <v>0</v>
      </c>
      <c r="AR100" s="417">
        <f t="shared" si="195"/>
        <v>0</v>
      </c>
    </row>
    <row r="101" spans="1:44" x14ac:dyDescent="0.2">
      <c r="A101" s="380"/>
      <c r="B101" s="33" t="s">
        <v>332</v>
      </c>
      <c r="C101" s="52"/>
      <c r="D101" s="440"/>
      <c r="E101" s="380"/>
      <c r="F101" s="417"/>
      <c r="G101" s="417"/>
      <c r="H101" s="417"/>
      <c r="I101" s="417"/>
      <c r="J101" s="417"/>
      <c r="K101" s="417"/>
      <c r="L101" s="417"/>
      <c r="M101" s="417"/>
      <c r="N101" s="417"/>
      <c r="O101" s="417"/>
      <c r="P101" s="417"/>
      <c r="Q101" s="417"/>
      <c r="R101" s="417"/>
      <c r="S101" s="417"/>
      <c r="T101" s="417"/>
      <c r="U101" s="417"/>
      <c r="V101" s="417"/>
      <c r="W101" s="417"/>
      <c r="X101" s="417"/>
      <c r="Y101" s="417"/>
      <c r="Z101" s="417"/>
      <c r="AA101" s="417"/>
      <c r="AB101" s="417"/>
      <c r="AC101" s="417"/>
      <c r="AD101" s="417"/>
      <c r="AE101" s="417"/>
      <c r="AF101" s="417"/>
      <c r="AG101" s="417"/>
      <c r="AH101" s="417"/>
      <c r="AI101" s="417"/>
      <c r="AJ101" s="417"/>
      <c r="AK101" s="417"/>
      <c r="AL101" s="417"/>
      <c r="AM101" s="417"/>
      <c r="AN101" s="417"/>
      <c r="AO101" s="417"/>
      <c r="AP101" s="417"/>
      <c r="AQ101" s="417"/>
      <c r="AR101" s="417"/>
    </row>
  </sheetData>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ADC5-6802-4CCC-8FCB-5ED05BFD5E0D}">
  <sheetPr>
    <tabColor theme="9"/>
  </sheetPr>
  <dimension ref="A1:AS79"/>
  <sheetViews>
    <sheetView workbookViewId="0">
      <pane xSplit="4" ySplit="7" topLeftCell="E63" activePane="bottomRight" state="frozen"/>
      <selection pane="topRight" activeCell="E1" sqref="E1"/>
      <selection pane="bottomLeft" activeCell="A8" sqref="A8"/>
      <selection pane="bottomRight" activeCell="D23" sqref="D23"/>
    </sheetView>
  </sheetViews>
  <sheetFormatPr defaultColWidth="0" defaultRowHeight="14.25" x14ac:dyDescent="0.2"/>
  <cols>
    <col min="1" max="1" width="10" style="1" customWidth="1"/>
    <col min="2" max="2" width="37.85546875" style="1" customWidth="1"/>
    <col min="3" max="3" width="22.28515625" style="1" bestFit="1" customWidth="1"/>
    <col min="4" max="4" width="15.140625" style="1" bestFit="1" customWidth="1"/>
    <col min="5" max="5" width="1.5703125" style="1" customWidth="1"/>
    <col min="6" max="44" width="14.42578125" style="1" customWidth="1"/>
    <col min="45" max="45" width="9.140625" style="1" customWidth="1"/>
    <col min="46" max="16384" width="9.140625" style="1" hidden="1"/>
  </cols>
  <sheetData>
    <row r="1" spans="1:44" ht="19.5" x14ac:dyDescent="0.3">
      <c r="A1" s="3" t="str">
        <f>Summary!$A$1</f>
        <v>Multimodal Improvements to Safely Connect Tulsa at US-75 and 81st Street Interchange</v>
      </c>
      <c r="B1" s="380"/>
      <c r="C1" s="380"/>
      <c r="D1" s="380"/>
      <c r="E1" s="380"/>
      <c r="F1" s="380"/>
      <c r="G1" s="380"/>
      <c r="H1" s="380"/>
      <c r="I1" s="380"/>
      <c r="J1" s="380"/>
      <c r="K1" s="380"/>
      <c r="L1" s="380"/>
      <c r="M1" s="380"/>
      <c r="N1" s="380"/>
      <c r="O1" s="380"/>
      <c r="P1" s="380"/>
      <c r="Q1" s="380"/>
      <c r="R1" s="380"/>
      <c r="S1" s="380"/>
      <c r="T1" s="380"/>
      <c r="U1" s="380"/>
      <c r="V1" s="380"/>
      <c r="W1" s="380"/>
      <c r="X1" s="380"/>
      <c r="Y1" s="380"/>
      <c r="Z1" s="380"/>
      <c r="AA1" s="380"/>
      <c r="AB1" s="380"/>
      <c r="AC1" s="380"/>
      <c r="AD1" s="380"/>
      <c r="AE1" s="380"/>
      <c r="AF1" s="380"/>
      <c r="AG1" s="380"/>
      <c r="AH1" s="380"/>
      <c r="AI1" s="380"/>
      <c r="AJ1" s="380"/>
      <c r="AK1" s="380"/>
      <c r="AL1" s="380"/>
      <c r="AM1" s="380"/>
      <c r="AN1" s="380"/>
      <c r="AO1" s="380"/>
      <c r="AP1" s="380"/>
      <c r="AQ1" s="380"/>
      <c r="AR1" s="380"/>
    </row>
    <row r="2" spans="1:44" ht="19.5" x14ac:dyDescent="0.3">
      <c r="A2" s="3" t="s">
        <v>333</v>
      </c>
      <c r="B2" s="380"/>
      <c r="C2" s="7"/>
      <c r="D2" s="380"/>
      <c r="E2" s="380"/>
      <c r="F2" s="380"/>
      <c r="G2" s="380"/>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row>
    <row r="3" spans="1:44" x14ac:dyDescent="0.2">
      <c r="A3" s="381">
        <f ca="1">Summary!A3</f>
        <v>45687</v>
      </c>
      <c r="B3" s="380"/>
      <c r="C3" s="358" t="s">
        <v>259</v>
      </c>
      <c r="D3" s="359">
        <f>Summary!$E$9</f>
        <v>1.8138898580989069</v>
      </c>
      <c r="E3" s="380"/>
      <c r="F3" s="380"/>
      <c r="G3" s="380"/>
      <c r="H3" s="380"/>
      <c r="I3" s="380"/>
      <c r="J3" s="380"/>
      <c r="K3" s="380"/>
      <c r="L3" s="380"/>
      <c r="M3" s="380"/>
      <c r="N3" s="380"/>
      <c r="O3" s="380"/>
      <c r="P3" s="380"/>
      <c r="Q3" s="380"/>
      <c r="R3" s="380"/>
      <c r="S3" s="380"/>
      <c r="T3" s="380"/>
      <c r="U3" s="380"/>
      <c r="V3" s="380"/>
      <c r="W3" s="380"/>
      <c r="X3" s="380"/>
      <c r="Y3" s="380"/>
      <c r="Z3" s="380"/>
      <c r="AA3" s="380"/>
      <c r="AB3" s="380"/>
      <c r="AC3" s="380"/>
      <c r="AD3" s="380"/>
      <c r="AE3" s="380"/>
      <c r="AF3" s="380"/>
      <c r="AG3" s="380"/>
      <c r="AH3" s="380"/>
      <c r="AI3" s="380"/>
      <c r="AJ3" s="380"/>
      <c r="AK3" s="380"/>
      <c r="AL3" s="380"/>
      <c r="AM3" s="380"/>
      <c r="AN3" s="380"/>
      <c r="AO3" s="380"/>
      <c r="AP3" s="380"/>
      <c r="AQ3" s="380"/>
      <c r="AR3" s="380"/>
    </row>
    <row r="4" spans="1:44" x14ac:dyDescent="0.2">
      <c r="A4" s="33" t="str">
        <f>Summary!A4</f>
        <v>All $ values 2023, unless otherwise noted</v>
      </c>
      <c r="B4" s="380"/>
      <c r="C4" s="7"/>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c r="AM4" s="380"/>
      <c r="AN4" s="380"/>
      <c r="AO4" s="380"/>
      <c r="AP4" s="380"/>
      <c r="AQ4" s="380"/>
      <c r="AR4" s="380"/>
    </row>
    <row r="5" spans="1:44" x14ac:dyDescent="0.2">
      <c r="A5" s="380"/>
      <c r="B5" s="382"/>
      <c r="C5" s="7"/>
      <c r="D5" s="380"/>
      <c r="E5" s="380"/>
      <c r="F5" s="380"/>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0"/>
      <c r="AO5" s="380"/>
      <c r="AP5" s="380"/>
      <c r="AQ5" s="380"/>
      <c r="AR5" s="380"/>
    </row>
    <row r="6" spans="1:44" x14ac:dyDescent="0.2">
      <c r="A6" s="380"/>
      <c r="B6" s="380"/>
      <c r="C6" s="380" t="s">
        <v>48</v>
      </c>
      <c r="D6" s="380" t="s">
        <v>49</v>
      </c>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row>
    <row r="7" spans="1:44" s="4" customFormat="1" x14ac:dyDescent="0.2">
      <c r="A7" s="450" t="s">
        <v>235</v>
      </c>
      <c r="B7" s="450"/>
      <c r="C7" s="8" t="s">
        <v>235</v>
      </c>
      <c r="D7" s="450"/>
      <c r="E7" s="450"/>
      <c r="F7" s="450">
        <f>Inputs!$E$12</f>
        <v>2018</v>
      </c>
      <c r="G7" s="450">
        <f>F7+1</f>
        <v>2019</v>
      </c>
      <c r="H7" s="450">
        <f t="shared" ref="H7:W8" si="0">G7+1</f>
        <v>2020</v>
      </c>
      <c r="I7" s="450">
        <f t="shared" si="0"/>
        <v>2021</v>
      </c>
      <c r="J7" s="450">
        <f t="shared" si="0"/>
        <v>2022</v>
      </c>
      <c r="K7" s="450">
        <f t="shared" si="0"/>
        <v>2023</v>
      </c>
      <c r="L7" s="450">
        <f t="shared" si="0"/>
        <v>2024</v>
      </c>
      <c r="M7" s="450">
        <f t="shared" si="0"/>
        <v>2025</v>
      </c>
      <c r="N7" s="450">
        <f t="shared" si="0"/>
        <v>2026</v>
      </c>
      <c r="O7" s="450">
        <f t="shared" si="0"/>
        <v>2027</v>
      </c>
      <c r="P7" s="450">
        <f t="shared" si="0"/>
        <v>2028</v>
      </c>
      <c r="Q7" s="450">
        <f t="shared" si="0"/>
        <v>2029</v>
      </c>
      <c r="R7" s="450">
        <f t="shared" si="0"/>
        <v>2030</v>
      </c>
      <c r="S7" s="450">
        <f t="shared" si="0"/>
        <v>2031</v>
      </c>
      <c r="T7" s="450">
        <f t="shared" si="0"/>
        <v>2032</v>
      </c>
      <c r="U7" s="450">
        <f t="shared" si="0"/>
        <v>2033</v>
      </c>
      <c r="V7" s="450">
        <f t="shared" si="0"/>
        <v>2034</v>
      </c>
      <c r="W7" s="450">
        <f t="shared" si="0"/>
        <v>2035</v>
      </c>
      <c r="X7" s="450">
        <f t="shared" ref="X7:AM8" si="1">W7+1</f>
        <v>2036</v>
      </c>
      <c r="Y7" s="450">
        <f t="shared" si="1"/>
        <v>2037</v>
      </c>
      <c r="Z7" s="450">
        <f t="shared" si="1"/>
        <v>2038</v>
      </c>
      <c r="AA7" s="450">
        <f t="shared" si="1"/>
        <v>2039</v>
      </c>
      <c r="AB7" s="450">
        <f t="shared" si="1"/>
        <v>2040</v>
      </c>
      <c r="AC7" s="450">
        <f t="shared" si="1"/>
        <v>2041</v>
      </c>
      <c r="AD7" s="450">
        <f t="shared" si="1"/>
        <v>2042</v>
      </c>
      <c r="AE7" s="450">
        <f t="shared" si="1"/>
        <v>2043</v>
      </c>
      <c r="AF7" s="450">
        <f t="shared" si="1"/>
        <v>2044</v>
      </c>
      <c r="AG7" s="450">
        <f t="shared" si="1"/>
        <v>2045</v>
      </c>
      <c r="AH7" s="450">
        <f t="shared" si="1"/>
        <v>2046</v>
      </c>
      <c r="AI7" s="450">
        <f t="shared" si="1"/>
        <v>2047</v>
      </c>
      <c r="AJ7" s="450">
        <f t="shared" si="1"/>
        <v>2048</v>
      </c>
      <c r="AK7" s="450">
        <f t="shared" si="1"/>
        <v>2049</v>
      </c>
      <c r="AL7" s="450">
        <f t="shared" si="1"/>
        <v>2050</v>
      </c>
      <c r="AM7" s="450">
        <f t="shared" si="1"/>
        <v>2051</v>
      </c>
      <c r="AN7" s="450">
        <f t="shared" ref="AN7:AR8" si="2">AM7+1</f>
        <v>2052</v>
      </c>
      <c r="AO7" s="450">
        <f t="shared" si="2"/>
        <v>2053</v>
      </c>
      <c r="AP7" s="450">
        <f t="shared" si="2"/>
        <v>2054</v>
      </c>
      <c r="AQ7" s="450">
        <f t="shared" si="2"/>
        <v>2055</v>
      </c>
      <c r="AR7" s="450">
        <f t="shared" si="2"/>
        <v>2056</v>
      </c>
    </row>
    <row r="8" spans="1:44" x14ac:dyDescent="0.2">
      <c r="A8" s="380"/>
      <c r="B8" s="380" t="s">
        <v>236</v>
      </c>
      <c r="C8" s="7" t="s">
        <v>54</v>
      </c>
      <c r="D8" s="380"/>
      <c r="E8" s="380"/>
      <c r="F8" s="380">
        <f>D8+1</f>
        <v>1</v>
      </c>
      <c r="G8" s="380">
        <f t="shared" ref="G8" si="3">F8+1</f>
        <v>2</v>
      </c>
      <c r="H8" s="380">
        <f t="shared" si="0"/>
        <v>3</v>
      </c>
      <c r="I8" s="380">
        <f t="shared" si="0"/>
        <v>4</v>
      </c>
      <c r="J8" s="380">
        <f t="shared" si="0"/>
        <v>5</v>
      </c>
      <c r="K8" s="380">
        <f t="shared" si="0"/>
        <v>6</v>
      </c>
      <c r="L8" s="380">
        <f t="shared" si="0"/>
        <v>7</v>
      </c>
      <c r="M8" s="380">
        <f t="shared" si="0"/>
        <v>8</v>
      </c>
      <c r="N8" s="380">
        <f t="shared" si="0"/>
        <v>9</v>
      </c>
      <c r="O8" s="380">
        <f t="shared" si="0"/>
        <v>10</v>
      </c>
      <c r="P8" s="380">
        <f t="shared" si="0"/>
        <v>11</v>
      </c>
      <c r="Q8" s="380">
        <f t="shared" si="0"/>
        <v>12</v>
      </c>
      <c r="R8" s="380">
        <f t="shared" si="0"/>
        <v>13</v>
      </c>
      <c r="S8" s="380">
        <f t="shared" si="0"/>
        <v>14</v>
      </c>
      <c r="T8" s="380">
        <f t="shared" si="0"/>
        <v>15</v>
      </c>
      <c r="U8" s="380">
        <f t="shared" si="0"/>
        <v>16</v>
      </c>
      <c r="V8" s="380">
        <f t="shared" si="0"/>
        <v>17</v>
      </c>
      <c r="W8" s="380">
        <f t="shared" si="0"/>
        <v>18</v>
      </c>
      <c r="X8" s="380">
        <f t="shared" si="1"/>
        <v>19</v>
      </c>
      <c r="Y8" s="380">
        <f t="shared" si="1"/>
        <v>20</v>
      </c>
      <c r="Z8" s="380">
        <f t="shared" si="1"/>
        <v>21</v>
      </c>
      <c r="AA8" s="380">
        <f t="shared" si="1"/>
        <v>22</v>
      </c>
      <c r="AB8" s="380">
        <f t="shared" si="1"/>
        <v>23</v>
      </c>
      <c r="AC8" s="380">
        <f t="shared" si="1"/>
        <v>24</v>
      </c>
      <c r="AD8" s="380">
        <f t="shared" si="1"/>
        <v>25</v>
      </c>
      <c r="AE8" s="380">
        <f t="shared" si="1"/>
        <v>26</v>
      </c>
      <c r="AF8" s="380">
        <f t="shared" si="1"/>
        <v>27</v>
      </c>
      <c r="AG8" s="380">
        <f t="shared" si="1"/>
        <v>28</v>
      </c>
      <c r="AH8" s="380">
        <f t="shared" si="1"/>
        <v>29</v>
      </c>
      <c r="AI8" s="380">
        <f t="shared" si="1"/>
        <v>30</v>
      </c>
      <c r="AJ8" s="380">
        <f t="shared" si="1"/>
        <v>31</v>
      </c>
      <c r="AK8" s="380">
        <f t="shared" si="1"/>
        <v>32</v>
      </c>
      <c r="AL8" s="380">
        <f t="shared" si="1"/>
        <v>33</v>
      </c>
      <c r="AM8" s="380">
        <f t="shared" si="1"/>
        <v>34</v>
      </c>
      <c r="AN8" s="380">
        <f t="shared" si="2"/>
        <v>35</v>
      </c>
      <c r="AO8" s="380">
        <f t="shared" si="2"/>
        <v>36</v>
      </c>
      <c r="AP8" s="380">
        <f t="shared" si="2"/>
        <v>37</v>
      </c>
      <c r="AQ8" s="380">
        <f t="shared" si="2"/>
        <v>38</v>
      </c>
      <c r="AR8" s="380">
        <f t="shared" si="2"/>
        <v>39</v>
      </c>
    </row>
    <row r="9" spans="1:44" x14ac:dyDescent="0.2">
      <c r="A9" s="380"/>
      <c r="B9" s="380" t="s">
        <v>237</v>
      </c>
      <c r="C9" s="7" t="s">
        <v>238</v>
      </c>
      <c r="D9" s="380"/>
      <c r="E9" s="380"/>
      <c r="F9" s="380">
        <f>IF(F7=Inputs!$E$13,1,0)</f>
        <v>0</v>
      </c>
      <c r="G9" s="380">
        <f>IF(G7=Inputs!$E$13,1,0)</f>
        <v>0</v>
      </c>
      <c r="H9" s="380">
        <f>IF(H7=Inputs!$E$13,1,0)</f>
        <v>0</v>
      </c>
      <c r="I9" s="380">
        <f>IF(I7=Inputs!$E$13,1,0)</f>
        <v>0</v>
      </c>
      <c r="J9" s="380">
        <f>IF(J7=Inputs!$E$13,1,0)</f>
        <v>0</v>
      </c>
      <c r="K9" s="380">
        <f>IF(K7=Inputs!$E$13,1,0)</f>
        <v>1</v>
      </c>
      <c r="L9" s="380">
        <f>IF(L7=Inputs!$E$13,1,0)</f>
        <v>0</v>
      </c>
      <c r="M9" s="380">
        <f>IF(M7=Inputs!$E$13,1,0)</f>
        <v>0</v>
      </c>
      <c r="N9" s="380">
        <f>IF(N7=Inputs!$E$13,1,0)</f>
        <v>0</v>
      </c>
      <c r="O9" s="380">
        <f>IF(O7=Inputs!$E$13,1,0)</f>
        <v>0</v>
      </c>
      <c r="P9" s="380">
        <f>IF(P7=Inputs!$E$13,1,0)</f>
        <v>0</v>
      </c>
      <c r="Q9" s="380">
        <f>IF(Q7=Inputs!$E$13,1,0)</f>
        <v>0</v>
      </c>
      <c r="R9" s="380">
        <f>IF(R7=Inputs!$E$13,1,0)</f>
        <v>0</v>
      </c>
      <c r="S9" s="380">
        <f>IF(S7=Inputs!$E$13,1,0)</f>
        <v>0</v>
      </c>
      <c r="T9" s="380">
        <f>IF(T7=Inputs!$E$13,1,0)</f>
        <v>0</v>
      </c>
      <c r="U9" s="380">
        <f>IF(U7=Inputs!$E$13,1,0)</f>
        <v>0</v>
      </c>
      <c r="V9" s="380">
        <f>IF(V7=Inputs!$E$13,1,0)</f>
        <v>0</v>
      </c>
      <c r="W9" s="380">
        <f>IF(W7=Inputs!$E$13,1,0)</f>
        <v>0</v>
      </c>
      <c r="X9" s="380">
        <f>IF(X7=Inputs!$E$13,1,0)</f>
        <v>0</v>
      </c>
      <c r="Y9" s="380">
        <f>IF(Y7=Inputs!$E$13,1,0)</f>
        <v>0</v>
      </c>
      <c r="Z9" s="380">
        <f>IF(Z7=Inputs!$E$13,1,0)</f>
        <v>0</v>
      </c>
      <c r="AA9" s="380">
        <f>IF(AA7=Inputs!$E$13,1,0)</f>
        <v>0</v>
      </c>
      <c r="AB9" s="380">
        <f>IF(AB7=Inputs!$E$13,1,0)</f>
        <v>0</v>
      </c>
      <c r="AC9" s="380">
        <f>IF(AC7=Inputs!$E$13,1,0)</f>
        <v>0</v>
      </c>
      <c r="AD9" s="380">
        <f>IF(AD7=Inputs!$E$13,1,0)</f>
        <v>0</v>
      </c>
      <c r="AE9" s="380">
        <f>IF(AE7=Inputs!$E$13,1,0)</f>
        <v>0</v>
      </c>
      <c r="AF9" s="380">
        <f>IF(AF7=Inputs!$E$13,1,0)</f>
        <v>0</v>
      </c>
      <c r="AG9" s="380">
        <f>IF(AG7=Inputs!$E$13,1,0)</f>
        <v>0</v>
      </c>
      <c r="AH9" s="380">
        <f>IF(AH7=Inputs!$E$13,1,0)</f>
        <v>0</v>
      </c>
      <c r="AI9" s="380">
        <f>IF(AI7=Inputs!$E$13,1,0)</f>
        <v>0</v>
      </c>
      <c r="AJ9" s="380">
        <f>IF(AJ7=Inputs!$E$13,1,0)</f>
        <v>0</v>
      </c>
      <c r="AK9" s="380">
        <f>IF(AK7=Inputs!$E$13,1,0)</f>
        <v>0</v>
      </c>
      <c r="AL9" s="380">
        <f>IF(AL7=Inputs!$E$13,1,0)</f>
        <v>0</v>
      </c>
      <c r="AM9" s="380">
        <f>IF(AM7=Inputs!$E$13,1,0)</f>
        <v>0</v>
      </c>
      <c r="AN9" s="380">
        <f>IF(AN7=Inputs!$E$13,1,0)</f>
        <v>0</v>
      </c>
      <c r="AO9" s="380">
        <f>IF(AO7=Inputs!$E$13,1,0)</f>
        <v>0</v>
      </c>
      <c r="AP9" s="380">
        <f>IF(AP7=Inputs!$E$13,1,0)</f>
        <v>0</v>
      </c>
      <c r="AQ9" s="380">
        <f>IF(AQ7=Inputs!$E$13,1,0)</f>
        <v>0</v>
      </c>
      <c r="AR9" s="380">
        <f>IF(AR7=Inputs!$E$13,1,0)</f>
        <v>0</v>
      </c>
    </row>
    <row r="10" spans="1:44" x14ac:dyDescent="0.2">
      <c r="A10" s="380"/>
      <c r="B10" s="380" t="s">
        <v>239</v>
      </c>
      <c r="C10" s="7" t="s">
        <v>61</v>
      </c>
      <c r="D10" s="380"/>
      <c r="E10" s="380"/>
      <c r="F10" s="428">
        <f>F7-Inputs!$E$13</f>
        <v>-5</v>
      </c>
      <c r="G10" s="428">
        <f>G7-Inputs!$E$13</f>
        <v>-4</v>
      </c>
      <c r="H10" s="428">
        <f>H7-Inputs!$E$13</f>
        <v>-3</v>
      </c>
      <c r="I10" s="428">
        <f>I7-Inputs!$E$13</f>
        <v>-2</v>
      </c>
      <c r="J10" s="428">
        <f>J7-Inputs!$E$13</f>
        <v>-1</v>
      </c>
      <c r="K10" s="428">
        <f>K7-Inputs!$E$13</f>
        <v>0</v>
      </c>
      <c r="L10" s="428">
        <f>L7-Inputs!$E$13</f>
        <v>1</v>
      </c>
      <c r="M10" s="428">
        <f>M7-Inputs!$E$13</f>
        <v>2</v>
      </c>
      <c r="N10" s="428">
        <f>N7-Inputs!$E$13</f>
        <v>3</v>
      </c>
      <c r="O10" s="428">
        <f>O7-Inputs!$E$13</f>
        <v>4</v>
      </c>
      <c r="P10" s="428">
        <f>P7-Inputs!$E$13</f>
        <v>5</v>
      </c>
      <c r="Q10" s="428">
        <f>Q7-Inputs!$E$13</f>
        <v>6</v>
      </c>
      <c r="R10" s="428">
        <f>R7-Inputs!$E$13</f>
        <v>7</v>
      </c>
      <c r="S10" s="428">
        <f>S7-Inputs!$E$13</f>
        <v>8</v>
      </c>
      <c r="T10" s="428">
        <f>T7-Inputs!$E$13</f>
        <v>9</v>
      </c>
      <c r="U10" s="428">
        <f>U7-Inputs!$E$13</f>
        <v>10</v>
      </c>
      <c r="V10" s="428">
        <f>V7-Inputs!$E$13</f>
        <v>11</v>
      </c>
      <c r="W10" s="428">
        <f>W7-Inputs!$E$13</f>
        <v>12</v>
      </c>
      <c r="X10" s="428">
        <f>X7-Inputs!$E$13</f>
        <v>13</v>
      </c>
      <c r="Y10" s="428">
        <f>Y7-Inputs!$E$13</f>
        <v>14</v>
      </c>
      <c r="Z10" s="428">
        <f>Z7-Inputs!$E$13</f>
        <v>15</v>
      </c>
      <c r="AA10" s="428">
        <f>AA7-Inputs!$E$13</f>
        <v>16</v>
      </c>
      <c r="AB10" s="428">
        <f>AB7-Inputs!$E$13</f>
        <v>17</v>
      </c>
      <c r="AC10" s="428">
        <f>AC7-Inputs!$E$13</f>
        <v>18</v>
      </c>
      <c r="AD10" s="428">
        <f>AD7-Inputs!$E$13</f>
        <v>19</v>
      </c>
      <c r="AE10" s="428">
        <f>AE7-Inputs!$E$13</f>
        <v>20</v>
      </c>
      <c r="AF10" s="428">
        <f>AF7-Inputs!$E$13</f>
        <v>21</v>
      </c>
      <c r="AG10" s="428">
        <f>AG7-Inputs!$E$13</f>
        <v>22</v>
      </c>
      <c r="AH10" s="428">
        <f>AH7-Inputs!$E$13</f>
        <v>23</v>
      </c>
      <c r="AI10" s="428">
        <f>AI7-Inputs!$E$13</f>
        <v>24</v>
      </c>
      <c r="AJ10" s="428">
        <f>AJ7-Inputs!$E$13</f>
        <v>25</v>
      </c>
      <c r="AK10" s="428">
        <f>AK7-Inputs!$E$13</f>
        <v>26</v>
      </c>
      <c r="AL10" s="428">
        <f>AL7-Inputs!$E$13</f>
        <v>27</v>
      </c>
      <c r="AM10" s="428">
        <f>AM7-Inputs!$E$13</f>
        <v>28</v>
      </c>
      <c r="AN10" s="428">
        <f>AN7-Inputs!$E$13</f>
        <v>29</v>
      </c>
      <c r="AO10" s="428">
        <f>AO7-Inputs!$E$13</f>
        <v>30</v>
      </c>
      <c r="AP10" s="428">
        <f>AP7-Inputs!$E$13</f>
        <v>31</v>
      </c>
      <c r="AQ10" s="428">
        <f>AQ7-Inputs!$E$13</f>
        <v>32</v>
      </c>
      <c r="AR10" s="428">
        <f>AR7-Inputs!$E$13</f>
        <v>33</v>
      </c>
    </row>
    <row r="11" spans="1:44" x14ac:dyDescent="0.2">
      <c r="A11" s="380"/>
      <c r="B11" s="380" t="s">
        <v>240</v>
      </c>
      <c r="C11" s="7" t="s">
        <v>238</v>
      </c>
      <c r="D11" s="380"/>
      <c r="E11" s="380"/>
      <c r="F11" s="380">
        <f>IF(AND(F7&gt;=Inputs!$E$17,F7&lt;Inputs!$E$26),1,0)</f>
        <v>0</v>
      </c>
      <c r="G11" s="380">
        <f>IF(AND(G7&gt;=Inputs!$E$17,G7&lt;Inputs!$E$26),1,0)</f>
        <v>0</v>
      </c>
      <c r="H11" s="380">
        <f>IF(AND(H7&gt;=Inputs!$E$17,H7&lt;Inputs!$E$26),1,0)</f>
        <v>0</v>
      </c>
      <c r="I11" s="380">
        <f>IF(AND(I7&gt;=Inputs!$E$17,I7&lt;Inputs!$E$26),1,0)</f>
        <v>0</v>
      </c>
      <c r="J11" s="380">
        <f>IF(AND(J7&gt;=Inputs!$E$17,J7&lt;Inputs!$E$26),1,0)</f>
        <v>0</v>
      </c>
      <c r="K11" s="380">
        <f>IF(AND(K7&gt;=Inputs!$E$17,K7&lt;Inputs!$E$26),1,0)</f>
        <v>0</v>
      </c>
      <c r="L11" s="380">
        <f>IF(AND(L7&gt;=Inputs!$E$17,L7&lt;Inputs!$E$26),1,0)</f>
        <v>0</v>
      </c>
      <c r="M11" s="380">
        <f>IF(AND(M7&gt;=Inputs!$E$17,M7&lt;Inputs!$E$26),1,0)</f>
        <v>0</v>
      </c>
      <c r="N11" s="380">
        <f>IF(AND(N7&gt;=Inputs!$E$17,N7&lt;Inputs!$E$26),1,0)</f>
        <v>0</v>
      </c>
      <c r="O11" s="380">
        <f>IF(AND(O7&gt;=Inputs!$E$17,O7&lt;Inputs!$E$26),1,0)</f>
        <v>1</v>
      </c>
      <c r="P11" s="380">
        <f>IF(AND(P7&gt;=Inputs!$E$17,P7&lt;Inputs!$E$26),1,0)</f>
        <v>1</v>
      </c>
      <c r="Q11" s="380">
        <f>IF(AND(Q7&gt;=Inputs!$E$17,Q7&lt;Inputs!$E$26),1,0)</f>
        <v>1</v>
      </c>
      <c r="R11" s="380">
        <f>IF(AND(R7&gt;=Inputs!$E$17,R7&lt;Inputs!$E$26),1,0)</f>
        <v>1</v>
      </c>
      <c r="S11" s="380">
        <f>IF(AND(S7&gt;=Inputs!$E$17,S7&lt;Inputs!$E$26),1,0)</f>
        <v>1</v>
      </c>
      <c r="T11" s="380">
        <f>IF(AND(T7&gt;=Inputs!$E$17,T7&lt;Inputs!$E$26),1,0)</f>
        <v>1</v>
      </c>
      <c r="U11" s="380">
        <f>IF(AND(U7&gt;=Inputs!$E$17,U7&lt;Inputs!$E$26),1,0)</f>
        <v>1</v>
      </c>
      <c r="V11" s="380">
        <f>IF(AND(V7&gt;=Inputs!$E$17,V7&lt;Inputs!$E$26),1,0)</f>
        <v>1</v>
      </c>
      <c r="W11" s="380">
        <f>IF(AND(W7&gt;=Inputs!$E$17,W7&lt;Inputs!$E$26),1,0)</f>
        <v>1</v>
      </c>
      <c r="X11" s="380">
        <f>IF(AND(X7&gt;=Inputs!$E$17,X7&lt;Inputs!$E$26),1,0)</f>
        <v>1</v>
      </c>
      <c r="Y11" s="380">
        <f>IF(AND(Y7&gt;=Inputs!$E$17,Y7&lt;Inputs!$E$26),1,0)</f>
        <v>1</v>
      </c>
      <c r="Z11" s="380">
        <f>IF(AND(Z7&gt;=Inputs!$E$17,Z7&lt;Inputs!$E$26),1,0)</f>
        <v>1</v>
      </c>
      <c r="AA11" s="380">
        <f>IF(AND(AA7&gt;=Inputs!$E$17,AA7&lt;Inputs!$E$26),1,0)</f>
        <v>1</v>
      </c>
      <c r="AB11" s="380">
        <f>IF(AND(AB7&gt;=Inputs!$E$17,AB7&lt;Inputs!$E$26),1,0)</f>
        <v>1</v>
      </c>
      <c r="AC11" s="380">
        <f>IF(AND(AC7&gt;=Inputs!$E$17,AC7&lt;Inputs!$E$26),1,0)</f>
        <v>1</v>
      </c>
      <c r="AD11" s="380">
        <f>IF(AND(AD7&gt;=Inputs!$E$17,AD7&lt;Inputs!$E$26),1,0)</f>
        <v>1</v>
      </c>
      <c r="AE11" s="380">
        <f>IF(AND(AE7&gt;=Inputs!$E$17,AE7&lt;Inputs!$E$26),1,0)</f>
        <v>1</v>
      </c>
      <c r="AF11" s="380">
        <f>IF(AND(AF7&gt;=Inputs!$E$17,AF7&lt;Inputs!$E$26),1,0)</f>
        <v>1</v>
      </c>
      <c r="AG11" s="380">
        <f>IF(AND(AG7&gt;=Inputs!$E$17,AG7&lt;Inputs!$E$26),1,0)</f>
        <v>1</v>
      </c>
      <c r="AH11" s="380">
        <f>IF(AND(AH7&gt;=Inputs!$E$17,AH7&lt;Inputs!$E$26),1,0)</f>
        <v>1</v>
      </c>
      <c r="AI11" s="380">
        <f>IF(AND(AI7&gt;=Inputs!$E$17,AI7&lt;Inputs!$E$26),1,0)</f>
        <v>0</v>
      </c>
      <c r="AJ11" s="380">
        <f>IF(AND(AJ7&gt;=Inputs!$E$17,AJ7&lt;Inputs!$E$26),1,0)</f>
        <v>0</v>
      </c>
      <c r="AK11" s="380">
        <f>IF(AND(AK7&gt;=Inputs!$E$17,AK7&lt;Inputs!$E$26),1,0)</f>
        <v>0</v>
      </c>
      <c r="AL11" s="380">
        <f>IF(AND(AL7&gt;=Inputs!$E$17,AL7&lt;Inputs!$E$26),1,0)</f>
        <v>0</v>
      </c>
      <c r="AM11" s="380">
        <f>IF(AND(AM7&gt;=Inputs!$E$17,AM7&lt;Inputs!$E$26),1,0)</f>
        <v>0</v>
      </c>
      <c r="AN11" s="380">
        <f>IF(AND(AN7&gt;=Inputs!$E$17,AN7&lt;Inputs!$E$26),1,0)</f>
        <v>0</v>
      </c>
      <c r="AO11" s="380">
        <f>IF(AND(AO7&gt;=Inputs!$E$17,AO7&lt;Inputs!$E$26),1,0)</f>
        <v>0</v>
      </c>
      <c r="AP11" s="380">
        <f>IF(AND(AP7&gt;=Inputs!$E$17,AP7&lt;Inputs!$E$26),1,0)</f>
        <v>0</v>
      </c>
      <c r="AQ11" s="380">
        <f>IF(AND(AQ7&gt;=Inputs!$E$17,AQ7&lt;Inputs!$E$26),1,0)</f>
        <v>0</v>
      </c>
      <c r="AR11" s="380">
        <f>IF(AND(AR7&gt;=Inputs!$E$17,AR7&lt;Inputs!$E$26),1,0)</f>
        <v>0</v>
      </c>
    </row>
    <row r="12" spans="1:44" ht="15" x14ac:dyDescent="0.25">
      <c r="A12" s="2" t="s">
        <v>241</v>
      </c>
      <c r="B12" s="380"/>
      <c r="C12" s="7"/>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0"/>
      <c r="AI12" s="380"/>
      <c r="AJ12" s="380"/>
      <c r="AK12" s="380"/>
      <c r="AL12" s="380"/>
      <c r="AM12" s="380"/>
      <c r="AN12" s="380"/>
      <c r="AO12" s="380"/>
      <c r="AP12" s="380"/>
      <c r="AQ12" s="380"/>
      <c r="AR12" s="380"/>
    </row>
    <row r="13" spans="1:44" x14ac:dyDescent="0.2">
      <c r="A13" s="380"/>
      <c r="B13" s="380" t="s">
        <v>242</v>
      </c>
      <c r="C13" s="7" t="s">
        <v>54</v>
      </c>
      <c r="D13" s="380"/>
      <c r="E13" s="380"/>
      <c r="F13" s="380">
        <f>(F11+D13)*F11</f>
        <v>0</v>
      </c>
      <c r="G13" s="380">
        <f t="shared" ref="G13:AG13" si="4">(G11+F13)*G11</f>
        <v>0</v>
      </c>
      <c r="H13" s="380">
        <f t="shared" si="4"/>
        <v>0</v>
      </c>
      <c r="I13" s="380">
        <f t="shared" si="4"/>
        <v>0</v>
      </c>
      <c r="J13" s="380">
        <f t="shared" si="4"/>
        <v>0</v>
      </c>
      <c r="K13" s="380">
        <f t="shared" si="4"/>
        <v>0</v>
      </c>
      <c r="L13" s="380">
        <f t="shared" si="4"/>
        <v>0</v>
      </c>
      <c r="M13" s="380">
        <f t="shared" si="4"/>
        <v>0</v>
      </c>
      <c r="N13" s="380">
        <f t="shared" si="4"/>
        <v>0</v>
      </c>
      <c r="O13" s="380">
        <f t="shared" si="4"/>
        <v>1</v>
      </c>
      <c r="P13" s="380">
        <f t="shared" si="4"/>
        <v>2</v>
      </c>
      <c r="Q13" s="380">
        <f t="shared" si="4"/>
        <v>3</v>
      </c>
      <c r="R13" s="380">
        <f t="shared" si="4"/>
        <v>4</v>
      </c>
      <c r="S13" s="380">
        <f t="shared" si="4"/>
        <v>5</v>
      </c>
      <c r="T13" s="380">
        <f t="shared" si="4"/>
        <v>6</v>
      </c>
      <c r="U13" s="380">
        <f t="shared" si="4"/>
        <v>7</v>
      </c>
      <c r="V13" s="380">
        <f t="shared" si="4"/>
        <v>8</v>
      </c>
      <c r="W13" s="380">
        <f t="shared" si="4"/>
        <v>9</v>
      </c>
      <c r="X13" s="380">
        <f t="shared" si="4"/>
        <v>10</v>
      </c>
      <c r="Y13" s="380">
        <f t="shared" si="4"/>
        <v>11</v>
      </c>
      <c r="Z13" s="380">
        <f t="shared" si="4"/>
        <v>12</v>
      </c>
      <c r="AA13" s="380">
        <f t="shared" si="4"/>
        <v>13</v>
      </c>
      <c r="AB13" s="380">
        <f t="shared" si="4"/>
        <v>14</v>
      </c>
      <c r="AC13" s="380">
        <f t="shared" si="4"/>
        <v>15</v>
      </c>
      <c r="AD13" s="380">
        <f t="shared" si="4"/>
        <v>16</v>
      </c>
      <c r="AE13" s="380">
        <f t="shared" si="4"/>
        <v>17</v>
      </c>
      <c r="AF13" s="380">
        <f t="shared" si="4"/>
        <v>18</v>
      </c>
      <c r="AG13" s="380">
        <f t="shared" si="4"/>
        <v>19</v>
      </c>
      <c r="AH13" s="380">
        <f>(AH11+AG13)*AH11</f>
        <v>20</v>
      </c>
      <c r="AI13" s="380">
        <f t="shared" ref="AI13:AR13" si="5">(AI11+AH13)*AI11</f>
        <v>0</v>
      </c>
      <c r="AJ13" s="380">
        <f t="shared" si="5"/>
        <v>0</v>
      </c>
      <c r="AK13" s="380">
        <f t="shared" si="5"/>
        <v>0</v>
      </c>
      <c r="AL13" s="380">
        <f t="shared" si="5"/>
        <v>0</v>
      </c>
      <c r="AM13" s="380">
        <f t="shared" si="5"/>
        <v>0</v>
      </c>
      <c r="AN13" s="380">
        <f t="shared" si="5"/>
        <v>0</v>
      </c>
      <c r="AO13" s="380">
        <f t="shared" si="5"/>
        <v>0</v>
      </c>
      <c r="AP13" s="380">
        <f t="shared" si="5"/>
        <v>0</v>
      </c>
      <c r="AQ13" s="380">
        <f t="shared" si="5"/>
        <v>0</v>
      </c>
      <c r="AR13" s="380">
        <f t="shared" si="5"/>
        <v>0</v>
      </c>
    </row>
    <row r="14" spans="1:44" ht="15" x14ac:dyDescent="0.25">
      <c r="A14" s="2" t="s">
        <v>9</v>
      </c>
      <c r="B14" s="380"/>
      <c r="C14" s="7"/>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c r="AB14" s="380"/>
      <c r="AC14" s="380"/>
      <c r="AD14" s="380"/>
      <c r="AE14" s="380"/>
      <c r="AF14" s="380"/>
      <c r="AG14" s="380"/>
      <c r="AH14" s="380"/>
      <c r="AI14" s="380"/>
      <c r="AJ14" s="380"/>
      <c r="AK14" s="380"/>
      <c r="AL14" s="380"/>
      <c r="AM14" s="380"/>
      <c r="AN14" s="380"/>
      <c r="AO14" s="380"/>
      <c r="AP14" s="380"/>
      <c r="AQ14" s="380"/>
      <c r="AR14" s="380"/>
    </row>
    <row r="15" spans="1:44" x14ac:dyDescent="0.2">
      <c r="A15" s="380"/>
      <c r="B15" s="380" t="s">
        <v>75</v>
      </c>
      <c r="C15" s="7" t="s">
        <v>54</v>
      </c>
      <c r="D15" s="445">
        <f>Inputs!E29</f>
        <v>0</v>
      </c>
      <c r="E15" s="445"/>
      <c r="F15" s="446">
        <f t="shared" ref="F15:L15" si="6">1/(1+$D15)^(F$10)</f>
        <v>1</v>
      </c>
      <c r="G15" s="446">
        <f t="shared" si="6"/>
        <v>1</v>
      </c>
      <c r="H15" s="446">
        <f t="shared" si="6"/>
        <v>1</v>
      </c>
      <c r="I15" s="446">
        <f t="shared" si="6"/>
        <v>1</v>
      </c>
      <c r="J15" s="446">
        <f t="shared" si="6"/>
        <v>1</v>
      </c>
      <c r="K15" s="446">
        <f t="shared" si="6"/>
        <v>1</v>
      </c>
      <c r="L15" s="446">
        <f t="shared" si="6"/>
        <v>1</v>
      </c>
      <c r="M15" s="446">
        <f>1/(1+$D15)^(M$10)</f>
        <v>1</v>
      </c>
      <c r="N15" s="446">
        <f t="shared" ref="N15:AR15" si="7">1/(1+$D15)^(N$10)</f>
        <v>1</v>
      </c>
      <c r="O15" s="446">
        <f t="shared" si="7"/>
        <v>1</v>
      </c>
      <c r="P15" s="446">
        <f t="shared" si="7"/>
        <v>1</v>
      </c>
      <c r="Q15" s="446">
        <f t="shared" si="7"/>
        <v>1</v>
      </c>
      <c r="R15" s="446">
        <f t="shared" si="7"/>
        <v>1</v>
      </c>
      <c r="S15" s="446">
        <f t="shared" si="7"/>
        <v>1</v>
      </c>
      <c r="T15" s="446">
        <f t="shared" si="7"/>
        <v>1</v>
      </c>
      <c r="U15" s="446">
        <f t="shared" si="7"/>
        <v>1</v>
      </c>
      <c r="V15" s="446">
        <f t="shared" si="7"/>
        <v>1</v>
      </c>
      <c r="W15" s="446">
        <f t="shared" si="7"/>
        <v>1</v>
      </c>
      <c r="X15" s="446">
        <f t="shared" si="7"/>
        <v>1</v>
      </c>
      <c r="Y15" s="446">
        <f t="shared" si="7"/>
        <v>1</v>
      </c>
      <c r="Z15" s="446">
        <f t="shared" si="7"/>
        <v>1</v>
      </c>
      <c r="AA15" s="446">
        <f t="shared" si="7"/>
        <v>1</v>
      </c>
      <c r="AB15" s="446">
        <f t="shared" si="7"/>
        <v>1</v>
      </c>
      <c r="AC15" s="446">
        <f t="shared" si="7"/>
        <v>1</v>
      </c>
      <c r="AD15" s="446">
        <f t="shared" si="7"/>
        <v>1</v>
      </c>
      <c r="AE15" s="446">
        <f t="shared" si="7"/>
        <v>1</v>
      </c>
      <c r="AF15" s="446">
        <f t="shared" si="7"/>
        <v>1</v>
      </c>
      <c r="AG15" s="446">
        <f t="shared" si="7"/>
        <v>1</v>
      </c>
      <c r="AH15" s="446">
        <f t="shared" si="7"/>
        <v>1</v>
      </c>
      <c r="AI15" s="446">
        <f t="shared" si="7"/>
        <v>1</v>
      </c>
      <c r="AJ15" s="446">
        <f t="shared" si="7"/>
        <v>1</v>
      </c>
      <c r="AK15" s="446">
        <f t="shared" si="7"/>
        <v>1</v>
      </c>
      <c r="AL15" s="446">
        <f t="shared" si="7"/>
        <v>1</v>
      </c>
      <c r="AM15" s="446">
        <f t="shared" si="7"/>
        <v>1</v>
      </c>
      <c r="AN15" s="446">
        <f t="shared" si="7"/>
        <v>1</v>
      </c>
      <c r="AO15" s="446">
        <f t="shared" si="7"/>
        <v>1</v>
      </c>
      <c r="AP15" s="446">
        <f t="shared" si="7"/>
        <v>1</v>
      </c>
      <c r="AQ15" s="446">
        <f t="shared" si="7"/>
        <v>1</v>
      </c>
      <c r="AR15" s="446">
        <f t="shared" si="7"/>
        <v>1</v>
      </c>
    </row>
    <row r="16" spans="1:44" x14ac:dyDescent="0.2">
      <c r="A16" s="380"/>
      <c r="B16" s="380" t="str">
        <f>Inputs!$C$30</f>
        <v>2% Discount Factor</v>
      </c>
      <c r="C16" s="7" t="s">
        <v>54</v>
      </c>
      <c r="D16" s="445">
        <f>Inputs!E30</f>
        <v>0.02</v>
      </c>
      <c r="E16" s="445"/>
      <c r="F16" s="446">
        <f t="shared" ref="F16:L16" si="8">MIN(1,IF(F10=0,1,1/(1+$D16)^(F$10)))</f>
        <v>1</v>
      </c>
      <c r="G16" s="446">
        <f t="shared" si="8"/>
        <v>1</v>
      </c>
      <c r="H16" s="446">
        <f t="shared" si="8"/>
        <v>1</v>
      </c>
      <c r="I16" s="446">
        <f t="shared" si="8"/>
        <v>1</v>
      </c>
      <c r="J16" s="446">
        <f t="shared" si="8"/>
        <v>1</v>
      </c>
      <c r="K16" s="446">
        <f t="shared" si="8"/>
        <v>1</v>
      </c>
      <c r="L16" s="446">
        <f t="shared" si="8"/>
        <v>0.98039215686274506</v>
      </c>
      <c r="M16" s="446">
        <f>MIN(1,IF(M10=0,1,1/(1+$D16)^(M$10)))</f>
        <v>0.96116878123798544</v>
      </c>
      <c r="N16" s="446">
        <f t="shared" ref="N16:AR16" si="9">MIN(1,IF(N10=0,1,1/(1+$D16)^(N$10)))</f>
        <v>0.94232233454704462</v>
      </c>
      <c r="O16" s="446">
        <f t="shared" si="9"/>
        <v>0.9238454260265142</v>
      </c>
      <c r="P16" s="446">
        <f t="shared" si="9"/>
        <v>0.90573080982991594</v>
      </c>
      <c r="Q16" s="446">
        <f t="shared" si="9"/>
        <v>0.88797138218619198</v>
      </c>
      <c r="R16" s="446">
        <f t="shared" si="9"/>
        <v>0.87056017861391388</v>
      </c>
      <c r="S16" s="446">
        <f t="shared" si="9"/>
        <v>0.85349037119011162</v>
      </c>
      <c r="T16" s="446">
        <f t="shared" si="9"/>
        <v>0.83675526587265847</v>
      </c>
      <c r="U16" s="446">
        <f t="shared" si="9"/>
        <v>0.82034829987515534</v>
      </c>
      <c r="V16" s="446">
        <f t="shared" si="9"/>
        <v>0.80426303909328967</v>
      </c>
      <c r="W16" s="446">
        <f t="shared" si="9"/>
        <v>0.78849317558165644</v>
      </c>
      <c r="X16" s="446">
        <f t="shared" si="9"/>
        <v>0.77303252508005538</v>
      </c>
      <c r="Y16" s="446">
        <f t="shared" si="9"/>
        <v>0.75787502458828948</v>
      </c>
      <c r="Z16" s="446">
        <f t="shared" si="9"/>
        <v>0.74301472998851925</v>
      </c>
      <c r="AA16" s="446">
        <f t="shared" si="9"/>
        <v>0.72844581371423445</v>
      </c>
      <c r="AB16" s="446">
        <f t="shared" si="9"/>
        <v>0.7141625624649357</v>
      </c>
      <c r="AC16" s="446">
        <f t="shared" si="9"/>
        <v>0.7001593749656233</v>
      </c>
      <c r="AD16" s="446">
        <f t="shared" si="9"/>
        <v>0.68643075977021895</v>
      </c>
      <c r="AE16" s="446">
        <f t="shared" si="9"/>
        <v>0.67297133310805779</v>
      </c>
      <c r="AF16" s="446">
        <f t="shared" si="9"/>
        <v>0.65977581677260566</v>
      </c>
      <c r="AG16" s="446">
        <f t="shared" si="9"/>
        <v>0.64683903605157411</v>
      </c>
      <c r="AH16" s="446">
        <f t="shared" si="9"/>
        <v>0.63415591769762181</v>
      </c>
      <c r="AI16" s="446">
        <f t="shared" si="9"/>
        <v>0.62172148793884485</v>
      </c>
      <c r="AJ16" s="446">
        <f t="shared" si="9"/>
        <v>0.60953087052827937</v>
      </c>
      <c r="AK16" s="446">
        <f t="shared" si="9"/>
        <v>0.59757928483164635</v>
      </c>
      <c r="AL16" s="446">
        <f t="shared" si="9"/>
        <v>0.58586204395259456</v>
      </c>
      <c r="AM16" s="446">
        <f t="shared" si="9"/>
        <v>0.57437455289470041</v>
      </c>
      <c r="AN16" s="446">
        <f t="shared" si="9"/>
        <v>0.56311230675951029</v>
      </c>
      <c r="AO16" s="446">
        <f t="shared" si="9"/>
        <v>0.55207088897991197</v>
      </c>
      <c r="AP16" s="446">
        <f t="shared" si="9"/>
        <v>0.54124596958814919</v>
      </c>
      <c r="AQ16" s="446">
        <f t="shared" si="9"/>
        <v>0.53063330351779314</v>
      </c>
      <c r="AR16" s="446">
        <f t="shared" si="9"/>
        <v>0.52022872893901284</v>
      </c>
    </row>
    <row r="17" spans="1:44" x14ac:dyDescent="0.2">
      <c r="A17" s="380"/>
      <c r="B17" s="380" t="str">
        <f>Inputs!$C$31</f>
        <v>3.1% Discount Factor</v>
      </c>
      <c r="C17" s="7" t="s">
        <v>54</v>
      </c>
      <c r="D17" s="445">
        <f>Inputs!E31</f>
        <v>3.1E-2</v>
      </c>
      <c r="E17" s="445"/>
      <c r="F17" s="446">
        <f t="shared" ref="F17:L17" si="10">MIN(1,IF(F10=0,1,1/(1+$D17)^(F$10)))</f>
        <v>1</v>
      </c>
      <c r="G17" s="446">
        <f t="shared" si="10"/>
        <v>1</v>
      </c>
      <c r="H17" s="446">
        <f t="shared" si="10"/>
        <v>1</v>
      </c>
      <c r="I17" s="446">
        <f t="shared" si="10"/>
        <v>1</v>
      </c>
      <c r="J17" s="446">
        <f t="shared" si="10"/>
        <v>1</v>
      </c>
      <c r="K17" s="446">
        <f t="shared" si="10"/>
        <v>1</v>
      </c>
      <c r="L17" s="446">
        <f t="shared" si="10"/>
        <v>0.96993210475266745</v>
      </c>
      <c r="M17" s="446">
        <f>MIN(1,IF(M10=0,1,1/(1+$D17)^(M$10)))</f>
        <v>0.94076828782993938</v>
      </c>
      <c r="N17" s="446">
        <f t="shared" ref="N17:AR17" si="11">MIN(1,IF(N10=0,1,1/(1+$D17)^(N$10)))</f>
        <v>0.91248136549945624</v>
      </c>
      <c r="O17" s="446">
        <f t="shared" si="11"/>
        <v>0.88504497138647553</v>
      </c>
      <c r="P17" s="446">
        <f t="shared" si="11"/>
        <v>0.85843353189764848</v>
      </c>
      <c r="Q17" s="446">
        <f t="shared" si="11"/>
        <v>0.83262224238375215</v>
      </c>
      <c r="R17" s="446">
        <f t="shared" si="11"/>
        <v>0.80758704401915837</v>
      </c>
      <c r="S17" s="446">
        <f t="shared" si="11"/>
        <v>0.78330460137648728</v>
      </c>
      <c r="T17" s="446">
        <f t="shared" si="11"/>
        <v>0.75975228067554545</v>
      </c>
      <c r="U17" s="446">
        <f t="shared" si="11"/>
        <v>0.73690812868627109</v>
      </c>
      <c r="V17" s="446">
        <f t="shared" si="11"/>
        <v>0.71475085226602442</v>
      </c>
      <c r="W17" s="446">
        <f t="shared" si="11"/>
        <v>0.69325979851214781</v>
      </c>
      <c r="X17" s="446">
        <f t="shared" si="11"/>
        <v>0.67241493551129761</v>
      </c>
      <c r="Y17" s="446">
        <f t="shared" si="11"/>
        <v>0.65219683366760206</v>
      </c>
      <c r="Z17" s="446">
        <f t="shared" si="11"/>
        <v>0.63258664759224259</v>
      </c>
      <c r="AA17" s="446">
        <f t="shared" si="11"/>
        <v>0.6135660985375776</v>
      </c>
      <c r="AB17" s="446">
        <f t="shared" si="11"/>
        <v>0.59511745735943511</v>
      </c>
      <c r="AC17" s="446">
        <f t="shared" si="11"/>
        <v>0.57722352799169274</v>
      </c>
      <c r="AD17" s="446">
        <f t="shared" si="11"/>
        <v>0.55986763141774276</v>
      </c>
      <c r="AE17" s="446">
        <f t="shared" si="11"/>
        <v>0.54303359012390184</v>
      </c>
      <c r="AF17" s="446">
        <f t="shared" si="11"/>
        <v>0.52670571302027336</v>
      </c>
      <c r="AG17" s="446">
        <f t="shared" si="11"/>
        <v>0.51086878081500819</v>
      </c>
      <c r="AH17" s="446">
        <f t="shared" si="11"/>
        <v>0.49550803182832992</v>
      </c>
      <c r="AI17" s="446">
        <f t="shared" si="11"/>
        <v>0.4806091482331038</v>
      </c>
      <c r="AJ17" s="446">
        <f t="shared" si="11"/>
        <v>0.46615824270912104</v>
      </c>
      <c r="AK17" s="446">
        <f t="shared" si="11"/>
        <v>0.4521418454986626</v>
      </c>
      <c r="AL17" s="446">
        <f t="shared" si="11"/>
        <v>0.4385468918512731</v>
      </c>
      <c r="AM17" s="446">
        <f t="shared" si="11"/>
        <v>0.42536070984604568</v>
      </c>
      <c r="AN17" s="446">
        <f t="shared" si="11"/>
        <v>0.41257100858006374</v>
      </c>
      <c r="AO17" s="446">
        <f t="shared" si="11"/>
        <v>0.400165866711992</v>
      </c>
      <c r="AP17" s="446">
        <f t="shared" si="11"/>
        <v>0.38813372135013779</v>
      </c>
      <c r="AQ17" s="446">
        <f t="shared" si="11"/>
        <v>0.37646335727462438</v>
      </c>
      <c r="AR17" s="446">
        <f t="shared" si="11"/>
        <v>0.36514389648363188</v>
      </c>
    </row>
    <row r="19" spans="1:44" x14ac:dyDescent="0.2">
      <c r="A19" s="380"/>
      <c r="B19" s="380" t="s">
        <v>243</v>
      </c>
      <c r="C19" s="380" t="s">
        <v>48</v>
      </c>
      <c r="D19" s="380" t="s">
        <v>49</v>
      </c>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L19" s="380"/>
      <c r="AM19" s="380"/>
      <c r="AN19" s="380"/>
      <c r="AO19" s="380"/>
      <c r="AP19" s="380"/>
      <c r="AQ19" s="380"/>
      <c r="AR19" s="380"/>
    </row>
    <row r="20" spans="1:44" s="4" customFormat="1" x14ac:dyDescent="0.2">
      <c r="A20" s="449" t="s">
        <v>244</v>
      </c>
      <c r="B20" s="450"/>
      <c r="C20" s="450"/>
      <c r="D20" s="450"/>
      <c r="E20" s="450"/>
      <c r="F20" s="450"/>
      <c r="G20" s="450"/>
      <c r="H20" s="450"/>
      <c r="I20" s="450"/>
      <c r="J20" s="450"/>
      <c r="K20" s="450"/>
      <c r="L20" s="450"/>
      <c r="M20" s="450"/>
      <c r="N20" s="450"/>
      <c r="O20" s="450"/>
      <c r="P20" s="450"/>
      <c r="Q20" s="450"/>
      <c r="R20" s="450"/>
      <c r="S20" s="450"/>
      <c r="T20" s="450"/>
      <c r="U20" s="450"/>
      <c r="V20" s="450"/>
      <c r="W20" s="450"/>
      <c r="X20" s="450"/>
      <c r="Y20" s="450"/>
      <c r="Z20" s="450"/>
      <c r="AA20" s="450"/>
      <c r="AB20" s="450"/>
      <c r="AC20" s="450"/>
      <c r="AD20" s="450"/>
      <c r="AE20" s="450"/>
      <c r="AF20" s="450"/>
      <c r="AG20" s="450"/>
      <c r="AH20" s="450"/>
      <c r="AI20" s="450"/>
      <c r="AJ20" s="450"/>
      <c r="AK20" s="450"/>
      <c r="AL20" s="450"/>
      <c r="AM20" s="450"/>
      <c r="AN20" s="450"/>
      <c r="AO20" s="450"/>
      <c r="AP20" s="450"/>
      <c r="AQ20" s="450"/>
      <c r="AR20" s="450"/>
    </row>
    <row r="21" spans="1:44" ht="15" x14ac:dyDescent="0.25">
      <c r="A21" s="2" t="s">
        <v>334</v>
      </c>
      <c r="B21" s="380"/>
      <c r="C21" s="380"/>
      <c r="D21" s="380"/>
      <c r="E21" s="380"/>
      <c r="F21" s="380"/>
      <c r="G21" s="380"/>
      <c r="H21" s="380"/>
      <c r="I21" s="380"/>
      <c r="J21" s="380"/>
      <c r="K21" s="380"/>
      <c r="L21" s="380"/>
      <c r="M21" s="380"/>
      <c r="N21" s="380"/>
      <c r="O21" s="380"/>
      <c r="P21" s="380"/>
      <c r="Q21" s="380"/>
      <c r="R21" s="380"/>
      <c r="S21" s="380"/>
      <c r="T21" s="380"/>
      <c r="U21" s="380"/>
      <c r="V21" s="380"/>
      <c r="W21" s="380"/>
      <c r="X21" s="380"/>
      <c r="Y21" s="380"/>
      <c r="Z21" s="380"/>
      <c r="AA21" s="380"/>
      <c r="AB21" s="380"/>
      <c r="AC21" s="380"/>
      <c r="AD21" s="380"/>
      <c r="AE21" s="380"/>
      <c r="AF21" s="380"/>
      <c r="AG21" s="380"/>
      <c r="AH21" s="380"/>
      <c r="AI21" s="380"/>
      <c r="AJ21" s="380"/>
      <c r="AK21" s="380"/>
      <c r="AL21" s="380"/>
      <c r="AM21" s="380"/>
      <c r="AN21" s="380"/>
      <c r="AO21" s="380"/>
      <c r="AP21" s="380"/>
      <c r="AQ21" s="380"/>
      <c r="AR21" s="380"/>
    </row>
    <row r="22" spans="1:44" ht="15" x14ac:dyDescent="0.25">
      <c r="A22" s="380"/>
      <c r="B22" s="2" t="s">
        <v>335</v>
      </c>
      <c r="C22" s="52"/>
      <c r="D22" s="440"/>
      <c r="E22" s="380"/>
      <c r="F22" s="417"/>
      <c r="G22" s="417"/>
      <c r="H22" s="417"/>
      <c r="I22" s="417"/>
      <c r="J22" s="417"/>
      <c r="K22" s="417"/>
      <c r="L22" s="417"/>
      <c r="M22" s="417"/>
      <c r="N22" s="417"/>
      <c r="O22" s="417"/>
      <c r="P22" s="417"/>
      <c r="Q22" s="417"/>
      <c r="R22" s="417"/>
      <c r="S22" s="417"/>
      <c r="T22" s="417"/>
      <c r="U22" s="417"/>
      <c r="V22" s="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row>
    <row r="23" spans="1:44" x14ac:dyDescent="0.2">
      <c r="A23" s="380"/>
      <c r="B23" s="380" t="s">
        <v>336</v>
      </c>
      <c r="C23" s="52" t="s">
        <v>188</v>
      </c>
      <c r="D23" s="432">
        <f>Inputs!$E$136</f>
        <v>287.5</v>
      </c>
      <c r="E23" s="380"/>
      <c r="F23" s="458">
        <f t="shared" ref="F23:AR23" si="12">IF(F$7=$D$24,$D$23,0)</f>
        <v>0</v>
      </c>
      <c r="G23" s="458">
        <f t="shared" si="12"/>
        <v>0</v>
      </c>
      <c r="H23" s="458">
        <f t="shared" si="12"/>
        <v>0</v>
      </c>
      <c r="I23" s="458">
        <f t="shared" si="12"/>
        <v>0</v>
      </c>
      <c r="J23" s="458">
        <f t="shared" si="12"/>
        <v>0</v>
      </c>
      <c r="K23" s="458">
        <f t="shared" si="12"/>
        <v>287.5</v>
      </c>
      <c r="L23" s="458">
        <f t="shared" si="12"/>
        <v>0</v>
      </c>
      <c r="M23" s="458">
        <f t="shared" si="12"/>
        <v>0</v>
      </c>
      <c r="N23" s="458">
        <f t="shared" si="12"/>
        <v>0</v>
      </c>
      <c r="O23" s="458">
        <f t="shared" si="12"/>
        <v>0</v>
      </c>
      <c r="P23" s="458">
        <f t="shared" si="12"/>
        <v>0</v>
      </c>
      <c r="Q23" s="458">
        <f t="shared" si="12"/>
        <v>0</v>
      </c>
      <c r="R23" s="458">
        <f t="shared" si="12"/>
        <v>0</v>
      </c>
      <c r="S23" s="458">
        <f t="shared" si="12"/>
        <v>0</v>
      </c>
      <c r="T23" s="458">
        <f t="shared" si="12"/>
        <v>0</v>
      </c>
      <c r="U23" s="458">
        <f t="shared" si="12"/>
        <v>0</v>
      </c>
      <c r="V23" s="458">
        <f t="shared" si="12"/>
        <v>0</v>
      </c>
      <c r="W23" s="458">
        <f t="shared" si="12"/>
        <v>0</v>
      </c>
      <c r="X23" s="458">
        <f t="shared" si="12"/>
        <v>0</v>
      </c>
      <c r="Y23" s="458">
        <f t="shared" si="12"/>
        <v>0</v>
      </c>
      <c r="Z23" s="458">
        <f t="shared" si="12"/>
        <v>0</v>
      </c>
      <c r="AA23" s="458">
        <f t="shared" si="12"/>
        <v>0</v>
      </c>
      <c r="AB23" s="458">
        <f t="shared" si="12"/>
        <v>0</v>
      </c>
      <c r="AC23" s="458">
        <f t="shared" si="12"/>
        <v>0</v>
      </c>
      <c r="AD23" s="458">
        <f t="shared" si="12"/>
        <v>0</v>
      </c>
      <c r="AE23" s="458">
        <f t="shared" si="12"/>
        <v>0</v>
      </c>
      <c r="AF23" s="458">
        <f t="shared" si="12"/>
        <v>0</v>
      </c>
      <c r="AG23" s="458">
        <f t="shared" si="12"/>
        <v>0</v>
      </c>
      <c r="AH23" s="458">
        <f t="shared" si="12"/>
        <v>0</v>
      </c>
      <c r="AI23" s="458">
        <f t="shared" si="12"/>
        <v>0</v>
      </c>
      <c r="AJ23" s="458">
        <f t="shared" si="12"/>
        <v>0</v>
      </c>
      <c r="AK23" s="458">
        <f t="shared" si="12"/>
        <v>0</v>
      </c>
      <c r="AL23" s="458">
        <f t="shared" si="12"/>
        <v>0</v>
      </c>
      <c r="AM23" s="458">
        <f t="shared" si="12"/>
        <v>0</v>
      </c>
      <c r="AN23" s="458">
        <f t="shared" si="12"/>
        <v>0</v>
      </c>
      <c r="AO23" s="458">
        <f t="shared" si="12"/>
        <v>0</v>
      </c>
      <c r="AP23" s="458">
        <f t="shared" si="12"/>
        <v>0</v>
      </c>
      <c r="AQ23" s="458">
        <f t="shared" si="12"/>
        <v>0</v>
      </c>
      <c r="AR23" s="458">
        <f t="shared" si="12"/>
        <v>0</v>
      </c>
    </row>
    <row r="24" spans="1:44" x14ac:dyDescent="0.2">
      <c r="A24" s="380"/>
      <c r="B24" s="380" t="s">
        <v>336</v>
      </c>
      <c r="C24" s="52" t="s">
        <v>120</v>
      </c>
      <c r="D24" s="428">
        <f>Inputs!$E$137</f>
        <v>2023</v>
      </c>
      <c r="E24" s="380"/>
      <c r="F24" s="417"/>
      <c r="G24" s="417"/>
      <c r="H24" s="417"/>
      <c r="I24" s="417"/>
      <c r="J24" s="417"/>
      <c r="K24" s="417"/>
      <c r="L24" s="417"/>
      <c r="M24" s="417"/>
      <c r="N24" s="417"/>
      <c r="O24" s="417"/>
      <c r="P24" s="417"/>
      <c r="Q24" s="417"/>
      <c r="R24" s="417"/>
      <c r="S24" s="417"/>
      <c r="T24" s="417"/>
      <c r="U24" s="417"/>
      <c r="V24" s="417"/>
      <c r="W24" s="417"/>
      <c r="X24" s="417"/>
      <c r="Y24" s="417"/>
      <c r="Z24" s="417"/>
      <c r="AA24" s="417"/>
      <c r="AB24" s="417"/>
      <c r="AC24" s="417"/>
      <c r="AD24" s="417"/>
      <c r="AE24" s="417"/>
      <c r="AF24" s="417"/>
      <c r="AG24" s="417"/>
      <c r="AH24" s="417"/>
      <c r="AI24" s="417"/>
      <c r="AJ24" s="417"/>
      <c r="AK24" s="417"/>
      <c r="AL24" s="417"/>
      <c r="AM24" s="417"/>
      <c r="AN24" s="417"/>
      <c r="AO24" s="417"/>
      <c r="AP24" s="417"/>
      <c r="AQ24" s="417"/>
      <c r="AR24" s="417"/>
    </row>
    <row r="25" spans="1:44" x14ac:dyDescent="0.2">
      <c r="A25" s="380"/>
      <c r="B25" s="380" t="s">
        <v>337</v>
      </c>
      <c r="C25" s="52" t="s">
        <v>188</v>
      </c>
      <c r="D25" s="432">
        <f>Inputs!$E$138</f>
        <v>701.25</v>
      </c>
      <c r="E25" s="380"/>
      <c r="F25" s="417"/>
      <c r="G25" s="417"/>
      <c r="H25" s="417"/>
      <c r="I25" s="417"/>
      <c r="J25" s="417"/>
      <c r="K25" s="417"/>
      <c r="L25" s="417"/>
      <c r="M25" s="417"/>
      <c r="N25" s="417"/>
      <c r="O25" s="417"/>
      <c r="P25" s="417"/>
      <c r="Q25" s="417"/>
      <c r="R25" s="417"/>
      <c r="S25" s="417"/>
      <c r="T25" s="417"/>
      <c r="U25" s="417"/>
      <c r="V25" s="417"/>
      <c r="W25" s="417"/>
      <c r="X25" s="417"/>
      <c r="Y25" s="417"/>
      <c r="Z25" s="417"/>
      <c r="AA25" s="417"/>
      <c r="AB25" s="417"/>
      <c r="AC25" s="417"/>
      <c r="AD25" s="417"/>
      <c r="AE25" s="417"/>
      <c r="AF25" s="417"/>
      <c r="AG25" s="417"/>
      <c r="AH25" s="417"/>
      <c r="AI25" s="417"/>
      <c r="AJ25" s="417"/>
      <c r="AK25" s="417"/>
      <c r="AL25" s="417"/>
      <c r="AM25" s="417"/>
      <c r="AN25" s="417"/>
      <c r="AO25" s="417"/>
      <c r="AP25" s="417"/>
      <c r="AQ25" s="417"/>
      <c r="AR25" s="417"/>
    </row>
    <row r="26" spans="1:44" x14ac:dyDescent="0.2">
      <c r="A26" s="380"/>
      <c r="B26" s="380" t="s">
        <v>337</v>
      </c>
      <c r="C26" s="52" t="s">
        <v>120</v>
      </c>
      <c r="D26" s="428">
        <f>Inputs!$E$139</f>
        <v>2046</v>
      </c>
      <c r="E26" s="380"/>
      <c r="F26" s="417"/>
      <c r="G26" s="417"/>
      <c r="H26" s="417"/>
      <c r="I26" s="417"/>
      <c r="J26" s="417"/>
      <c r="K26" s="417"/>
      <c r="L26" s="417"/>
      <c r="M26" s="417"/>
      <c r="N26" s="417"/>
      <c r="O26" s="417"/>
      <c r="P26" s="417"/>
      <c r="Q26" s="417"/>
      <c r="R26" s="417"/>
      <c r="S26" s="417"/>
      <c r="T26" s="417"/>
      <c r="U26" s="417"/>
      <c r="V26" s="417"/>
      <c r="W26" s="417"/>
      <c r="X26" s="417"/>
      <c r="Y26" s="417"/>
      <c r="Z26" s="417"/>
      <c r="AA26" s="417"/>
      <c r="AB26" s="417"/>
      <c r="AC26" s="417"/>
      <c r="AD26" s="417"/>
      <c r="AE26" s="417"/>
      <c r="AF26" s="417"/>
      <c r="AG26" s="417"/>
      <c r="AH26" s="417"/>
      <c r="AI26" s="417"/>
      <c r="AJ26" s="417"/>
      <c r="AK26" s="417"/>
      <c r="AL26" s="417"/>
      <c r="AM26" s="417"/>
      <c r="AN26" s="417"/>
      <c r="AO26" s="417"/>
      <c r="AP26" s="417"/>
      <c r="AQ26" s="417"/>
      <c r="AR26" s="417"/>
    </row>
    <row r="27" spans="1:44" x14ac:dyDescent="0.2">
      <c r="A27" s="380"/>
      <c r="B27" s="380" t="s">
        <v>301</v>
      </c>
      <c r="C27" s="52" t="s">
        <v>338</v>
      </c>
      <c r="D27" s="459">
        <f>(D25-D23)/(D26-D24)</f>
        <v>17.989130434782609</v>
      </c>
      <c r="E27" s="380"/>
      <c r="F27" s="417"/>
      <c r="G27" s="417"/>
      <c r="H27" s="417"/>
      <c r="I27" s="417"/>
      <c r="J27" s="417"/>
      <c r="K27" s="417"/>
      <c r="L27" s="417"/>
      <c r="M27" s="417"/>
      <c r="N27" s="417"/>
      <c r="O27" s="417"/>
      <c r="P27" s="417"/>
      <c r="Q27" s="417"/>
      <c r="R27" s="417"/>
      <c r="S27" s="417"/>
      <c r="T27" s="417"/>
      <c r="U27" s="417"/>
      <c r="V27" s="417"/>
      <c r="W27" s="417"/>
      <c r="X27" s="417"/>
      <c r="Y27" s="417"/>
      <c r="Z27" s="417"/>
      <c r="AA27" s="417"/>
      <c r="AB27" s="417"/>
      <c r="AC27" s="417"/>
      <c r="AD27" s="417"/>
      <c r="AE27" s="417"/>
      <c r="AF27" s="417"/>
      <c r="AG27" s="417"/>
      <c r="AH27" s="417"/>
      <c r="AI27" s="417"/>
      <c r="AJ27" s="417"/>
      <c r="AK27" s="417"/>
      <c r="AL27" s="417"/>
      <c r="AM27" s="417"/>
      <c r="AN27" s="417"/>
      <c r="AO27" s="417"/>
      <c r="AP27" s="417"/>
      <c r="AQ27" s="417"/>
      <c r="AR27" s="417"/>
    </row>
    <row r="28" spans="1:44" x14ac:dyDescent="0.2">
      <c r="A28" s="380"/>
      <c r="B28" s="380" t="s">
        <v>302</v>
      </c>
      <c r="C28" s="52" t="s">
        <v>106</v>
      </c>
      <c r="D28" s="453"/>
      <c r="E28" s="380"/>
      <c r="F28" s="417">
        <f t="shared" ref="F28:AR28" si="13">IF(F7&gt;$D$24,1,0)</f>
        <v>0</v>
      </c>
      <c r="G28" s="417">
        <f t="shared" si="13"/>
        <v>0</v>
      </c>
      <c r="H28" s="417">
        <f t="shared" si="13"/>
        <v>0</v>
      </c>
      <c r="I28" s="417">
        <f t="shared" si="13"/>
        <v>0</v>
      </c>
      <c r="J28" s="417">
        <f t="shared" si="13"/>
        <v>0</v>
      </c>
      <c r="K28" s="417">
        <f t="shared" si="13"/>
        <v>0</v>
      </c>
      <c r="L28" s="417">
        <f t="shared" si="13"/>
        <v>1</v>
      </c>
      <c r="M28" s="417">
        <f t="shared" si="13"/>
        <v>1</v>
      </c>
      <c r="N28" s="417">
        <f t="shared" si="13"/>
        <v>1</v>
      </c>
      <c r="O28" s="417">
        <f t="shared" si="13"/>
        <v>1</v>
      </c>
      <c r="P28" s="417">
        <f t="shared" si="13"/>
        <v>1</v>
      </c>
      <c r="Q28" s="417">
        <f t="shared" si="13"/>
        <v>1</v>
      </c>
      <c r="R28" s="417">
        <f t="shared" si="13"/>
        <v>1</v>
      </c>
      <c r="S28" s="417">
        <f t="shared" si="13"/>
        <v>1</v>
      </c>
      <c r="T28" s="417">
        <f t="shared" si="13"/>
        <v>1</v>
      </c>
      <c r="U28" s="417">
        <f t="shared" si="13"/>
        <v>1</v>
      </c>
      <c r="V28" s="417">
        <f t="shared" si="13"/>
        <v>1</v>
      </c>
      <c r="W28" s="417">
        <f t="shared" si="13"/>
        <v>1</v>
      </c>
      <c r="X28" s="417">
        <f t="shared" si="13"/>
        <v>1</v>
      </c>
      <c r="Y28" s="417">
        <f t="shared" si="13"/>
        <v>1</v>
      </c>
      <c r="Z28" s="417">
        <f t="shared" si="13"/>
        <v>1</v>
      </c>
      <c r="AA28" s="417">
        <f t="shared" si="13"/>
        <v>1</v>
      </c>
      <c r="AB28" s="417">
        <f t="shared" si="13"/>
        <v>1</v>
      </c>
      <c r="AC28" s="417">
        <f t="shared" si="13"/>
        <v>1</v>
      </c>
      <c r="AD28" s="417">
        <f t="shared" si="13"/>
        <v>1</v>
      </c>
      <c r="AE28" s="417">
        <f t="shared" si="13"/>
        <v>1</v>
      </c>
      <c r="AF28" s="417">
        <f t="shared" si="13"/>
        <v>1</v>
      </c>
      <c r="AG28" s="417">
        <f t="shared" si="13"/>
        <v>1</v>
      </c>
      <c r="AH28" s="417">
        <f t="shared" si="13"/>
        <v>1</v>
      </c>
      <c r="AI28" s="417">
        <f t="shared" si="13"/>
        <v>1</v>
      </c>
      <c r="AJ28" s="417">
        <f t="shared" si="13"/>
        <v>1</v>
      </c>
      <c r="AK28" s="417">
        <f t="shared" si="13"/>
        <v>1</v>
      </c>
      <c r="AL28" s="417">
        <f t="shared" si="13"/>
        <v>1</v>
      </c>
      <c r="AM28" s="417">
        <f t="shared" si="13"/>
        <v>1</v>
      </c>
      <c r="AN28" s="417">
        <f t="shared" si="13"/>
        <v>1</v>
      </c>
      <c r="AO28" s="417">
        <f t="shared" si="13"/>
        <v>1</v>
      </c>
      <c r="AP28" s="417">
        <f t="shared" si="13"/>
        <v>1</v>
      </c>
      <c r="AQ28" s="417">
        <f t="shared" si="13"/>
        <v>1</v>
      </c>
      <c r="AR28" s="417">
        <f t="shared" si="13"/>
        <v>1</v>
      </c>
    </row>
    <row r="29" spans="1:44" ht="15" x14ac:dyDescent="0.25">
      <c r="A29" s="2"/>
      <c r="B29" s="380" t="s">
        <v>339</v>
      </c>
      <c r="C29" s="52" t="s">
        <v>338</v>
      </c>
      <c r="D29" s="432">
        <f>SUM(F29:AR29)</f>
        <v>19866.902173913055</v>
      </c>
      <c r="E29" s="380"/>
      <c r="F29" s="440">
        <f t="shared" ref="F29:AR29" si="14">E29+F23+F28*$D$27</f>
        <v>0</v>
      </c>
      <c r="G29" s="440">
        <f t="shared" si="14"/>
        <v>0</v>
      </c>
      <c r="H29" s="440">
        <f t="shared" si="14"/>
        <v>0</v>
      </c>
      <c r="I29" s="440">
        <f t="shared" si="14"/>
        <v>0</v>
      </c>
      <c r="J29" s="440">
        <f t="shared" si="14"/>
        <v>0</v>
      </c>
      <c r="K29" s="440">
        <f t="shared" si="14"/>
        <v>287.5</v>
      </c>
      <c r="L29" s="440">
        <f t="shared" si="14"/>
        <v>305.48913043478262</v>
      </c>
      <c r="M29" s="440">
        <f t="shared" si="14"/>
        <v>323.47826086956525</v>
      </c>
      <c r="N29" s="440">
        <f t="shared" si="14"/>
        <v>341.46739130434787</v>
      </c>
      <c r="O29" s="440">
        <f t="shared" si="14"/>
        <v>359.45652173913049</v>
      </c>
      <c r="P29" s="440">
        <f t="shared" si="14"/>
        <v>377.44565217391312</v>
      </c>
      <c r="Q29" s="440">
        <f t="shared" si="14"/>
        <v>395.43478260869574</v>
      </c>
      <c r="R29" s="440">
        <f t="shared" si="14"/>
        <v>413.42391304347836</v>
      </c>
      <c r="S29" s="440">
        <f t="shared" si="14"/>
        <v>431.41304347826099</v>
      </c>
      <c r="T29" s="440">
        <f t="shared" si="14"/>
        <v>449.40217391304361</v>
      </c>
      <c r="U29" s="440">
        <f t="shared" si="14"/>
        <v>467.39130434782624</v>
      </c>
      <c r="V29" s="440">
        <f t="shared" si="14"/>
        <v>485.38043478260886</v>
      </c>
      <c r="W29" s="440">
        <f t="shared" si="14"/>
        <v>503.36956521739148</v>
      </c>
      <c r="X29" s="440">
        <f t="shared" si="14"/>
        <v>521.35869565217411</v>
      </c>
      <c r="Y29" s="440">
        <f t="shared" si="14"/>
        <v>539.34782608695673</v>
      </c>
      <c r="Z29" s="440">
        <f t="shared" si="14"/>
        <v>557.33695652173935</v>
      </c>
      <c r="AA29" s="440">
        <f t="shared" si="14"/>
        <v>575.32608695652198</v>
      </c>
      <c r="AB29" s="440">
        <f t="shared" si="14"/>
        <v>593.3152173913046</v>
      </c>
      <c r="AC29" s="440">
        <f t="shared" si="14"/>
        <v>611.30434782608722</v>
      </c>
      <c r="AD29" s="440">
        <f t="shared" si="14"/>
        <v>629.29347826086985</v>
      </c>
      <c r="AE29" s="440">
        <f t="shared" si="14"/>
        <v>647.28260869565247</v>
      </c>
      <c r="AF29" s="440">
        <f t="shared" si="14"/>
        <v>665.27173913043509</v>
      </c>
      <c r="AG29" s="440">
        <f t="shared" si="14"/>
        <v>683.26086956521772</v>
      </c>
      <c r="AH29" s="440">
        <f t="shared" si="14"/>
        <v>701.25000000000034</v>
      </c>
      <c r="AI29" s="440">
        <f t="shared" si="14"/>
        <v>719.23913043478296</v>
      </c>
      <c r="AJ29" s="440">
        <f t="shared" si="14"/>
        <v>737.22826086956559</v>
      </c>
      <c r="AK29" s="440">
        <f t="shared" si="14"/>
        <v>755.21739130434821</v>
      </c>
      <c r="AL29" s="440">
        <f t="shared" si="14"/>
        <v>773.20652173913084</v>
      </c>
      <c r="AM29" s="440">
        <f t="shared" si="14"/>
        <v>791.19565217391346</v>
      </c>
      <c r="AN29" s="440">
        <f t="shared" si="14"/>
        <v>809.18478260869608</v>
      </c>
      <c r="AO29" s="440">
        <f t="shared" si="14"/>
        <v>827.17391304347871</v>
      </c>
      <c r="AP29" s="440">
        <f t="shared" si="14"/>
        <v>845.16304347826133</v>
      </c>
      <c r="AQ29" s="440">
        <f t="shared" si="14"/>
        <v>863.15217391304395</v>
      </c>
      <c r="AR29" s="440">
        <f t="shared" si="14"/>
        <v>881.14130434782658</v>
      </c>
    </row>
    <row r="30" spans="1:44" ht="15" x14ac:dyDescent="0.25">
      <c r="A30" s="2"/>
      <c r="B30" s="380" t="s">
        <v>326</v>
      </c>
      <c r="C30" s="52" t="s">
        <v>127</v>
      </c>
      <c r="D30" s="432">
        <f>Inputs!$E$32</f>
        <v>365</v>
      </c>
      <c r="E30" s="38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40"/>
      <c r="AO30" s="440"/>
      <c r="AP30" s="440"/>
      <c r="AQ30" s="440"/>
      <c r="AR30" s="440"/>
    </row>
    <row r="31" spans="1:44" ht="15" x14ac:dyDescent="0.25">
      <c r="A31" s="2"/>
      <c r="B31" s="380" t="s">
        <v>339</v>
      </c>
      <c r="C31" s="52" t="s">
        <v>340</v>
      </c>
      <c r="D31" s="432">
        <f>SUM(F31:AR31)</f>
        <v>7251419.2934782645</v>
      </c>
      <c r="E31" s="380"/>
      <c r="F31" s="440">
        <f t="shared" ref="F31:AR31" si="15">F29*$D$30</f>
        <v>0</v>
      </c>
      <c r="G31" s="440">
        <f t="shared" si="15"/>
        <v>0</v>
      </c>
      <c r="H31" s="440">
        <f t="shared" si="15"/>
        <v>0</v>
      </c>
      <c r="I31" s="440">
        <f t="shared" si="15"/>
        <v>0</v>
      </c>
      <c r="J31" s="440">
        <f t="shared" si="15"/>
        <v>0</v>
      </c>
      <c r="K31" s="440">
        <f t="shared" si="15"/>
        <v>104937.5</v>
      </c>
      <c r="L31" s="440">
        <f t="shared" si="15"/>
        <v>111503.53260869566</v>
      </c>
      <c r="M31" s="440">
        <f t="shared" si="15"/>
        <v>118069.56521739131</v>
      </c>
      <c r="N31" s="440">
        <f t="shared" si="15"/>
        <v>124635.59782608697</v>
      </c>
      <c r="O31" s="440">
        <f t="shared" si="15"/>
        <v>131201.63043478262</v>
      </c>
      <c r="P31" s="440">
        <f t="shared" si="15"/>
        <v>137767.6630434783</v>
      </c>
      <c r="Q31" s="440">
        <f t="shared" si="15"/>
        <v>144333.69565217395</v>
      </c>
      <c r="R31" s="440">
        <f t="shared" si="15"/>
        <v>150899.7282608696</v>
      </c>
      <c r="S31" s="440">
        <f t="shared" si="15"/>
        <v>157465.76086956527</v>
      </c>
      <c r="T31" s="440">
        <f t="shared" si="15"/>
        <v>164031.79347826092</v>
      </c>
      <c r="U31" s="440">
        <f t="shared" si="15"/>
        <v>170597.82608695657</v>
      </c>
      <c r="V31" s="440">
        <f t="shared" si="15"/>
        <v>177163.85869565222</v>
      </c>
      <c r="W31" s="440">
        <f t="shared" si="15"/>
        <v>183729.8913043479</v>
      </c>
      <c r="X31" s="440">
        <f t="shared" si="15"/>
        <v>190295.92391304355</v>
      </c>
      <c r="Y31" s="440">
        <f t="shared" si="15"/>
        <v>196861.95652173919</v>
      </c>
      <c r="Z31" s="440">
        <f t="shared" si="15"/>
        <v>203427.98913043487</v>
      </c>
      <c r="AA31" s="440">
        <f t="shared" si="15"/>
        <v>209994.02173913052</v>
      </c>
      <c r="AB31" s="440">
        <f t="shared" si="15"/>
        <v>216560.05434782617</v>
      </c>
      <c r="AC31" s="440">
        <f t="shared" si="15"/>
        <v>223126.08695652185</v>
      </c>
      <c r="AD31" s="440">
        <f t="shared" si="15"/>
        <v>229692.11956521749</v>
      </c>
      <c r="AE31" s="440">
        <f t="shared" si="15"/>
        <v>236258.15217391314</v>
      </c>
      <c r="AF31" s="440">
        <f t="shared" si="15"/>
        <v>242824.18478260882</v>
      </c>
      <c r="AG31" s="440">
        <f t="shared" si="15"/>
        <v>249390.21739130447</v>
      </c>
      <c r="AH31" s="440">
        <f t="shared" si="15"/>
        <v>255956.25000000012</v>
      </c>
      <c r="AI31" s="440">
        <f t="shared" si="15"/>
        <v>262522.28260869579</v>
      </c>
      <c r="AJ31" s="440">
        <f t="shared" si="15"/>
        <v>269088.31521739141</v>
      </c>
      <c r="AK31" s="440">
        <f t="shared" si="15"/>
        <v>275654.34782608709</v>
      </c>
      <c r="AL31" s="440">
        <f t="shared" si="15"/>
        <v>282220.38043478277</v>
      </c>
      <c r="AM31" s="440">
        <f t="shared" si="15"/>
        <v>288786.41304347839</v>
      </c>
      <c r="AN31" s="440">
        <f t="shared" si="15"/>
        <v>295352.44565217406</v>
      </c>
      <c r="AO31" s="440">
        <f t="shared" si="15"/>
        <v>301918.47826086974</v>
      </c>
      <c r="AP31" s="440">
        <f t="shared" si="15"/>
        <v>308484.51086956536</v>
      </c>
      <c r="AQ31" s="440">
        <f t="shared" si="15"/>
        <v>315050.54347826104</v>
      </c>
      <c r="AR31" s="440">
        <f t="shared" si="15"/>
        <v>321616.57608695672</v>
      </c>
    </row>
    <row r="32" spans="1:44" ht="15" x14ac:dyDescent="0.25">
      <c r="A32" s="2"/>
      <c r="B32" s="380"/>
      <c r="C32" s="52"/>
      <c r="D32" s="432"/>
      <c r="E32" s="38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40"/>
      <c r="AO32" s="440"/>
      <c r="AP32" s="440"/>
      <c r="AQ32" s="440"/>
      <c r="AR32" s="440"/>
    </row>
    <row r="33" spans="1:44" ht="15" x14ac:dyDescent="0.25">
      <c r="A33" s="2"/>
      <c r="B33" s="2" t="s">
        <v>341</v>
      </c>
      <c r="C33" s="52"/>
      <c r="D33" s="445"/>
      <c r="E33" s="380"/>
      <c r="F33" s="440"/>
      <c r="G33" s="440"/>
      <c r="H33" s="440"/>
      <c r="I33" s="440"/>
      <c r="J33" s="440"/>
      <c r="K33" s="440"/>
      <c r="L33" s="440"/>
      <c r="M33" s="440"/>
      <c r="N33" s="440"/>
      <c r="O33" s="440"/>
      <c r="P33" s="440"/>
      <c r="Q33" s="440"/>
      <c r="R33" s="440"/>
      <c r="S33" s="440"/>
      <c r="T33" s="440"/>
      <c r="U33" s="440"/>
      <c r="V33" s="440"/>
      <c r="W33" s="440"/>
      <c r="X33" s="440"/>
      <c r="Y33" s="440"/>
      <c r="Z33" s="440"/>
      <c r="AA33" s="440"/>
      <c r="AB33" s="440"/>
      <c r="AC33" s="440"/>
      <c r="AD33" s="440"/>
      <c r="AE33" s="440"/>
      <c r="AF33" s="440"/>
      <c r="AG33" s="440"/>
      <c r="AH33" s="440"/>
      <c r="AI33" s="440"/>
      <c r="AJ33" s="440"/>
      <c r="AK33" s="440"/>
      <c r="AL33" s="440"/>
      <c r="AM33" s="440"/>
      <c r="AN33" s="440"/>
      <c r="AO33" s="440"/>
      <c r="AP33" s="440"/>
      <c r="AQ33" s="440"/>
      <c r="AR33" s="440"/>
    </row>
    <row r="34" spans="1:44" ht="15" x14ac:dyDescent="0.25">
      <c r="A34" s="2"/>
      <c r="B34" s="380" t="str">
        <f>Inputs!C47</f>
        <v>Portion of Heavy Vehicles</v>
      </c>
      <c r="C34" s="52" t="s">
        <v>76</v>
      </c>
      <c r="D34" s="445">
        <f>Inputs!$E$47</f>
        <v>0.03</v>
      </c>
      <c r="E34" s="38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row>
    <row r="35" spans="1:44" ht="15" x14ac:dyDescent="0.25">
      <c r="A35" s="2"/>
      <c r="B35" s="380" t="s">
        <v>342</v>
      </c>
      <c r="C35" s="52" t="s">
        <v>340</v>
      </c>
      <c r="D35" s="432">
        <f>SUM(F35:AR35)</f>
        <v>7033876.7146739159</v>
      </c>
      <c r="E35" s="380"/>
      <c r="F35" s="440">
        <f t="shared" ref="F35:AR35" si="16">F31*(1-$D$34)</f>
        <v>0</v>
      </c>
      <c r="G35" s="440">
        <f t="shared" si="16"/>
        <v>0</v>
      </c>
      <c r="H35" s="440">
        <f t="shared" si="16"/>
        <v>0</v>
      </c>
      <c r="I35" s="440">
        <f t="shared" si="16"/>
        <v>0</v>
      </c>
      <c r="J35" s="440">
        <f t="shared" si="16"/>
        <v>0</v>
      </c>
      <c r="K35" s="440">
        <f t="shared" si="16"/>
        <v>101789.375</v>
      </c>
      <c r="L35" s="440">
        <f t="shared" si="16"/>
        <v>108158.42663043478</v>
      </c>
      <c r="M35" s="440">
        <f t="shared" si="16"/>
        <v>114527.47826086957</v>
      </c>
      <c r="N35" s="440">
        <f t="shared" si="16"/>
        <v>120896.52989130437</v>
      </c>
      <c r="O35" s="440">
        <f t="shared" si="16"/>
        <v>127265.58152173914</v>
      </c>
      <c r="P35" s="440">
        <f t="shared" si="16"/>
        <v>133634.63315217395</v>
      </c>
      <c r="Q35" s="440">
        <f t="shared" si="16"/>
        <v>140003.68478260873</v>
      </c>
      <c r="R35" s="440">
        <f t="shared" si="16"/>
        <v>146372.73641304352</v>
      </c>
      <c r="S35" s="440">
        <f t="shared" si="16"/>
        <v>152741.7880434783</v>
      </c>
      <c r="T35" s="440">
        <f t="shared" si="16"/>
        <v>159110.83967391308</v>
      </c>
      <c r="U35" s="440">
        <f t="shared" si="16"/>
        <v>165479.89130434787</v>
      </c>
      <c r="V35" s="440">
        <f t="shared" si="16"/>
        <v>171848.94293478265</v>
      </c>
      <c r="W35" s="440">
        <f t="shared" si="16"/>
        <v>178217.99456521746</v>
      </c>
      <c r="X35" s="440">
        <f t="shared" si="16"/>
        <v>184587.04619565222</v>
      </c>
      <c r="Y35" s="440">
        <f t="shared" si="16"/>
        <v>190956.097826087</v>
      </c>
      <c r="Z35" s="440">
        <f t="shared" si="16"/>
        <v>197325.14945652182</v>
      </c>
      <c r="AA35" s="440">
        <f t="shared" si="16"/>
        <v>203694.2010869566</v>
      </c>
      <c r="AB35" s="440">
        <f t="shared" si="16"/>
        <v>210063.25271739138</v>
      </c>
      <c r="AC35" s="440">
        <f t="shared" si="16"/>
        <v>216432.3043478262</v>
      </c>
      <c r="AD35" s="440">
        <f t="shared" si="16"/>
        <v>222801.35597826095</v>
      </c>
      <c r="AE35" s="440">
        <f t="shared" si="16"/>
        <v>229170.40760869574</v>
      </c>
      <c r="AF35" s="440">
        <f t="shared" si="16"/>
        <v>235539.45923913055</v>
      </c>
      <c r="AG35" s="440">
        <f t="shared" si="16"/>
        <v>241908.51086956533</v>
      </c>
      <c r="AH35" s="440">
        <f t="shared" si="16"/>
        <v>248277.56250000012</v>
      </c>
      <c r="AI35" s="440">
        <f t="shared" si="16"/>
        <v>254646.6141304349</v>
      </c>
      <c r="AJ35" s="440">
        <f t="shared" si="16"/>
        <v>261015.66576086966</v>
      </c>
      <c r="AK35" s="440">
        <f t="shared" si="16"/>
        <v>267384.7173913045</v>
      </c>
      <c r="AL35" s="440">
        <f t="shared" si="16"/>
        <v>273753.76902173925</v>
      </c>
      <c r="AM35" s="440">
        <f t="shared" si="16"/>
        <v>280122.82065217401</v>
      </c>
      <c r="AN35" s="440">
        <f t="shared" si="16"/>
        <v>286491.87228260882</v>
      </c>
      <c r="AO35" s="440">
        <f t="shared" si="16"/>
        <v>292860.92391304363</v>
      </c>
      <c r="AP35" s="440">
        <f t="shared" si="16"/>
        <v>299229.97554347839</v>
      </c>
      <c r="AQ35" s="440">
        <f t="shared" si="16"/>
        <v>305599.0271739132</v>
      </c>
      <c r="AR35" s="440">
        <f t="shared" si="16"/>
        <v>311968.07880434801</v>
      </c>
    </row>
    <row r="36" spans="1:44" ht="15" x14ac:dyDescent="0.25">
      <c r="A36" s="2"/>
      <c r="B36" s="380" t="s">
        <v>343</v>
      </c>
      <c r="C36" s="52" t="s">
        <v>340</v>
      </c>
      <c r="D36" s="432">
        <f>SUM(F36:AR36)</f>
        <v>217542.5788043479</v>
      </c>
      <c r="E36" s="380"/>
      <c r="F36" s="440">
        <f t="shared" ref="F36:AR36" si="17">F31*$D$34</f>
        <v>0</v>
      </c>
      <c r="G36" s="440">
        <f t="shared" si="17"/>
        <v>0</v>
      </c>
      <c r="H36" s="440">
        <f t="shared" si="17"/>
        <v>0</v>
      </c>
      <c r="I36" s="440">
        <f t="shared" si="17"/>
        <v>0</v>
      </c>
      <c r="J36" s="440">
        <f t="shared" si="17"/>
        <v>0</v>
      </c>
      <c r="K36" s="440">
        <f t="shared" si="17"/>
        <v>3148.125</v>
      </c>
      <c r="L36" s="440">
        <f t="shared" si="17"/>
        <v>3345.10597826087</v>
      </c>
      <c r="M36" s="440">
        <f t="shared" si="17"/>
        <v>3542.086956521739</v>
      </c>
      <c r="N36" s="440">
        <f t="shared" si="17"/>
        <v>3739.067934782609</v>
      </c>
      <c r="O36" s="440">
        <f t="shared" si="17"/>
        <v>3936.0489130434785</v>
      </c>
      <c r="P36" s="440">
        <f t="shared" si="17"/>
        <v>4133.0298913043489</v>
      </c>
      <c r="Q36" s="440">
        <f t="shared" si="17"/>
        <v>4330.0108695652179</v>
      </c>
      <c r="R36" s="440">
        <f t="shared" si="17"/>
        <v>4526.9918478260879</v>
      </c>
      <c r="S36" s="440">
        <f t="shared" si="17"/>
        <v>4723.9728260869579</v>
      </c>
      <c r="T36" s="440">
        <f t="shared" si="17"/>
        <v>4920.9538043478278</v>
      </c>
      <c r="U36" s="440">
        <f t="shared" si="17"/>
        <v>5117.9347826086969</v>
      </c>
      <c r="V36" s="440">
        <f t="shared" si="17"/>
        <v>5314.9157608695668</v>
      </c>
      <c r="W36" s="440">
        <f t="shared" si="17"/>
        <v>5511.8967391304368</v>
      </c>
      <c r="X36" s="440">
        <f t="shared" si="17"/>
        <v>5708.8777173913059</v>
      </c>
      <c r="Y36" s="440">
        <f t="shared" si="17"/>
        <v>5905.8586956521758</v>
      </c>
      <c r="Z36" s="440">
        <f t="shared" si="17"/>
        <v>6102.8396739130458</v>
      </c>
      <c r="AA36" s="440">
        <f t="shared" si="17"/>
        <v>6299.8206521739157</v>
      </c>
      <c r="AB36" s="440">
        <f t="shared" si="17"/>
        <v>6496.8016304347848</v>
      </c>
      <c r="AC36" s="440">
        <f t="shared" si="17"/>
        <v>6693.7826086956547</v>
      </c>
      <c r="AD36" s="440">
        <f t="shared" si="17"/>
        <v>6890.7635869565247</v>
      </c>
      <c r="AE36" s="440">
        <f t="shared" si="17"/>
        <v>7087.7445652173938</v>
      </c>
      <c r="AF36" s="440">
        <f t="shared" si="17"/>
        <v>7284.7255434782646</v>
      </c>
      <c r="AG36" s="440">
        <f t="shared" si="17"/>
        <v>7481.7065217391337</v>
      </c>
      <c r="AH36" s="440">
        <f t="shared" si="17"/>
        <v>7678.6875000000036</v>
      </c>
      <c r="AI36" s="440">
        <f t="shared" si="17"/>
        <v>7875.6684782608736</v>
      </c>
      <c r="AJ36" s="440">
        <f t="shared" si="17"/>
        <v>8072.6494565217417</v>
      </c>
      <c r="AK36" s="440">
        <f t="shared" si="17"/>
        <v>8269.6304347826117</v>
      </c>
      <c r="AL36" s="440">
        <f t="shared" si="17"/>
        <v>8466.6114130434835</v>
      </c>
      <c r="AM36" s="440">
        <f t="shared" si="17"/>
        <v>8663.5923913043516</v>
      </c>
      <c r="AN36" s="440">
        <f t="shared" si="17"/>
        <v>8860.5733695652216</v>
      </c>
      <c r="AO36" s="440">
        <f t="shared" si="17"/>
        <v>9057.5543478260915</v>
      </c>
      <c r="AP36" s="440">
        <f t="shared" si="17"/>
        <v>9254.5353260869597</v>
      </c>
      <c r="AQ36" s="440">
        <f t="shared" si="17"/>
        <v>9451.5163043478315</v>
      </c>
      <c r="AR36" s="440">
        <f t="shared" si="17"/>
        <v>9648.4972826087014</v>
      </c>
    </row>
    <row r="37" spans="1:44" ht="15" x14ac:dyDescent="0.25">
      <c r="A37" s="2"/>
      <c r="B37" s="380"/>
      <c r="C37" s="52"/>
      <c r="D37" s="432"/>
      <c r="E37" s="380"/>
      <c r="F37" s="432"/>
      <c r="G37" s="432"/>
      <c r="H37" s="432"/>
      <c r="I37" s="432"/>
      <c r="J37" s="432"/>
      <c r="K37" s="432"/>
      <c r="L37" s="432"/>
      <c r="M37" s="432"/>
      <c r="N37" s="432"/>
      <c r="O37" s="432"/>
      <c r="P37" s="432"/>
      <c r="Q37" s="432"/>
      <c r="R37" s="432"/>
      <c r="S37" s="432"/>
      <c r="T37" s="432"/>
      <c r="U37" s="432"/>
      <c r="V37" s="432"/>
      <c r="W37" s="432"/>
      <c r="X37" s="432"/>
      <c r="Y37" s="432"/>
      <c r="Z37" s="432"/>
      <c r="AA37" s="432"/>
      <c r="AB37" s="432"/>
      <c r="AC37" s="432"/>
      <c r="AD37" s="432"/>
      <c r="AE37" s="432"/>
      <c r="AF37" s="432"/>
      <c r="AG37" s="432"/>
      <c r="AH37" s="432"/>
      <c r="AI37" s="432"/>
      <c r="AJ37" s="432"/>
      <c r="AK37" s="432"/>
      <c r="AL37" s="432"/>
      <c r="AM37" s="432"/>
      <c r="AN37" s="432"/>
      <c r="AO37" s="432"/>
      <c r="AP37" s="432"/>
      <c r="AQ37" s="432"/>
      <c r="AR37" s="432"/>
    </row>
    <row r="38" spans="1:44" ht="15" x14ac:dyDescent="0.25">
      <c r="A38" s="380"/>
      <c r="B38" s="2" t="s">
        <v>344</v>
      </c>
      <c r="C38" s="52"/>
      <c r="D38" s="432"/>
      <c r="E38" s="380"/>
      <c r="F38" s="417"/>
      <c r="G38" s="417"/>
      <c r="H38" s="417"/>
      <c r="I38" s="417"/>
      <c r="J38" s="417"/>
      <c r="K38" s="417"/>
      <c r="L38" s="417"/>
      <c r="M38" s="417"/>
      <c r="N38" s="417"/>
      <c r="O38" s="417"/>
      <c r="P38" s="417"/>
      <c r="Q38" s="417"/>
      <c r="R38" s="417"/>
      <c r="S38" s="417"/>
      <c r="T38" s="417"/>
      <c r="U38" s="417"/>
      <c r="V38" s="417"/>
      <c r="W38" s="417"/>
      <c r="X38" s="417"/>
      <c r="Y38" s="417"/>
      <c r="Z38" s="417"/>
      <c r="AA38" s="417"/>
      <c r="AB38" s="417"/>
      <c r="AC38" s="417"/>
      <c r="AD38" s="417"/>
      <c r="AE38" s="417"/>
      <c r="AF38" s="417"/>
      <c r="AG38" s="417"/>
      <c r="AH38" s="417"/>
      <c r="AI38" s="417"/>
      <c r="AJ38" s="417"/>
      <c r="AK38" s="417"/>
      <c r="AL38" s="417"/>
      <c r="AM38" s="417"/>
      <c r="AN38" s="417"/>
      <c r="AO38" s="417"/>
      <c r="AP38" s="417"/>
      <c r="AQ38" s="417"/>
      <c r="AR38" s="417"/>
    </row>
    <row r="39" spans="1:44" x14ac:dyDescent="0.2">
      <c r="A39" s="380"/>
      <c r="B39" s="380" t="s">
        <v>345</v>
      </c>
      <c r="C39" s="52" t="s">
        <v>346</v>
      </c>
      <c r="D39" s="460"/>
      <c r="E39" s="380"/>
      <c r="F39" s="459">
        <f>IFERROR(HLOOKUP(F$7,'REF Fuel Prices'!$A$11:$AH$85,24),0)</f>
        <v>0</v>
      </c>
      <c r="G39" s="459">
        <f>IFERROR(HLOOKUP(G$7,'REF Fuel Prices'!$A$11:$AH$85,24),0)</f>
        <v>0</v>
      </c>
      <c r="H39" s="459">
        <f>IFERROR(HLOOKUP(H$7,'REF Fuel Prices'!$A$11:$AH$85,24),0)</f>
        <v>0</v>
      </c>
      <c r="I39" s="459">
        <f>IFERROR(HLOOKUP(I$7,'REF Fuel Prices'!$A$11:$AH$85,24),0)</f>
        <v>0</v>
      </c>
      <c r="J39" s="459">
        <f>IFERROR(HLOOKUP(J$7,'REF Fuel Prices'!$A$11:$AH$85,24),0)</f>
        <v>4.1839969999999997</v>
      </c>
      <c r="K39" s="459">
        <f>IFERROR(HLOOKUP(K$7,'REF Fuel Prices'!$A$11:$AH$85,24),0)</f>
        <v>3.6677590000000002</v>
      </c>
      <c r="L39" s="459">
        <f>IFERROR(HLOOKUP(L$7,'REF Fuel Prices'!$A$11:$AH$85,24),0)</f>
        <v>3.3247</v>
      </c>
      <c r="M39" s="459">
        <f>IFERROR(HLOOKUP(M$7,'REF Fuel Prices'!$A$11:$AH$85,24),0)</f>
        <v>3.1027680000000002</v>
      </c>
      <c r="N39" s="459">
        <f>IFERROR(HLOOKUP(N$7,'REF Fuel Prices'!$A$11:$AH$85,24),0)</f>
        <v>3.069134</v>
      </c>
      <c r="O39" s="459">
        <f>IFERROR(HLOOKUP(O$7,'REF Fuel Prices'!$A$11:$AH$85,24),0)</f>
        <v>3.050068</v>
      </c>
      <c r="P39" s="459">
        <f>IFERROR(HLOOKUP(P$7,'REF Fuel Prices'!$A$11:$AH$85,24),0)</f>
        <v>3.0508000000000002</v>
      </c>
      <c r="Q39" s="459">
        <f>IFERROR(HLOOKUP(Q$7,'REF Fuel Prices'!$A$11:$AH$85,24),0)</f>
        <v>3.0554380000000001</v>
      </c>
      <c r="R39" s="459">
        <f>IFERROR(HLOOKUP(R$7,'REF Fuel Prices'!$A$11:$AH$85,24),0)</f>
        <v>3.065353</v>
      </c>
      <c r="S39" s="459">
        <f>IFERROR(HLOOKUP(S$7,'REF Fuel Prices'!$A$11:$AH$85,24),0)</f>
        <v>3.0602819999999999</v>
      </c>
      <c r="T39" s="459">
        <f>IFERROR(HLOOKUP(T$7,'REF Fuel Prices'!$A$11:$AH$85,24),0)</f>
        <v>3.075698</v>
      </c>
      <c r="U39" s="459">
        <f>IFERROR(HLOOKUP(U$7,'REF Fuel Prices'!$A$11:$AH$85,24),0)</f>
        <v>3.0825239999999998</v>
      </c>
      <c r="V39" s="459">
        <f>IFERROR(HLOOKUP(V$7,'REF Fuel Prices'!$A$11:$AH$85,24),0)</f>
        <v>3.0924680000000002</v>
      </c>
      <c r="W39" s="459">
        <f>IFERROR(HLOOKUP(W$7,'REF Fuel Prices'!$A$11:$AH$85,24),0)</f>
        <v>3.0986539999999998</v>
      </c>
      <c r="X39" s="459">
        <f>IFERROR(HLOOKUP(X$7,'REF Fuel Prices'!$A$11:$AH$85,24),0)</f>
        <v>3.1315810000000002</v>
      </c>
      <c r="Y39" s="459">
        <f>IFERROR(HLOOKUP(Y$7,'REF Fuel Prices'!$A$11:$AH$85,24),0)</f>
        <v>3.1356619999999999</v>
      </c>
      <c r="Z39" s="459">
        <f>IFERROR(HLOOKUP(Z$7,'REF Fuel Prices'!$A$11:$AH$85,24),0)</f>
        <v>3.1447769999999999</v>
      </c>
      <c r="AA39" s="459">
        <f>IFERROR(HLOOKUP(AA$7,'REF Fuel Prices'!$A$11:$AH$85,24),0)</f>
        <v>3.1580710000000001</v>
      </c>
      <c r="AB39" s="459">
        <f>IFERROR(HLOOKUP(AB$7,'REF Fuel Prices'!$A$11:$AH$85,24),0)</f>
        <v>3.161826</v>
      </c>
      <c r="AC39" s="459">
        <f>IFERROR(HLOOKUP(AC$7,'REF Fuel Prices'!$A$11:$AH$85,24),0)</f>
        <v>3.161508</v>
      </c>
      <c r="AD39" s="459">
        <f>IFERROR(HLOOKUP(AD$7,'REF Fuel Prices'!$A$11:$AH$85,24),0)</f>
        <v>3.169308</v>
      </c>
      <c r="AE39" s="459">
        <f>IFERROR(HLOOKUP(AE$7,'REF Fuel Prices'!$A$11:$AH$85,24),0)</f>
        <v>3.1561599999999999</v>
      </c>
      <c r="AF39" s="459">
        <f>IFERROR(HLOOKUP(AF$7,'REF Fuel Prices'!$A$11:$AH$85,24),0)</f>
        <v>3.1765319999999999</v>
      </c>
      <c r="AG39" s="459">
        <f>IFERROR(HLOOKUP(AG$7,'REF Fuel Prices'!$A$11:$AH$85,24),0)</f>
        <v>3.1773859999999998</v>
      </c>
      <c r="AH39" s="459">
        <f>IFERROR(HLOOKUP(AH$7,'REF Fuel Prices'!$A$11:$AH$85,24),0)</f>
        <v>3.2653660000000002</v>
      </c>
      <c r="AI39" s="459">
        <f>IFERROR(HLOOKUP(AI$7,'REF Fuel Prices'!$A$11:$AH$85,24),0)</f>
        <v>3.2646809999999999</v>
      </c>
      <c r="AJ39" s="459">
        <f>IFERROR(HLOOKUP(AJ$7,'REF Fuel Prices'!$A$11:$AH$85,24),0)</f>
        <v>3.2908629999999999</v>
      </c>
      <c r="AK39" s="459">
        <f>IFERROR(HLOOKUP(AK$7,'REF Fuel Prices'!$A$11:$AH$85,24),0)</f>
        <v>3.2989959999999998</v>
      </c>
      <c r="AL39" s="459">
        <f>IFERROR(HLOOKUP(AL$7,'REF Fuel Prices'!$A$11:$AH$85,24),0)</f>
        <v>3.327496</v>
      </c>
      <c r="AM39" s="459">
        <f>IFERROR(HLOOKUP(AM$7,'REF Fuel Prices'!$A$11:$AH$85,24),0)</f>
        <v>3.327496</v>
      </c>
      <c r="AN39" s="459">
        <f>IFERROR(HLOOKUP(AN$7,'REF Fuel Prices'!$A$11:$AH$85,24),0)</f>
        <v>3.327496</v>
      </c>
      <c r="AO39" s="459">
        <f>IFERROR(HLOOKUP(AO$7,'REF Fuel Prices'!$A$11:$AH$85,24),0)</f>
        <v>3.327496</v>
      </c>
      <c r="AP39" s="459">
        <f>IFERROR(HLOOKUP(AP$7,'REF Fuel Prices'!$A$11:$AH$85,24),0)</f>
        <v>3.327496</v>
      </c>
      <c r="AQ39" s="459">
        <f>IFERROR(HLOOKUP(AQ$7,'REF Fuel Prices'!$A$11:$AH$85,24),0)</f>
        <v>3.327496</v>
      </c>
      <c r="AR39" s="459">
        <f>IFERROR(HLOOKUP(AR$7,'REF Fuel Prices'!$A$11:$AH$85,24),0)</f>
        <v>3.327496</v>
      </c>
    </row>
    <row r="40" spans="1:44" x14ac:dyDescent="0.2">
      <c r="A40" s="380"/>
      <c r="B40" s="380" t="s">
        <v>347</v>
      </c>
      <c r="C40" s="52" t="s">
        <v>346</v>
      </c>
      <c r="D40" s="460"/>
      <c r="E40" s="380"/>
      <c r="F40" s="459">
        <f>IFERROR(HLOOKUP(F$7,'REF Fuel Prices'!$A$11:$AH$85,26),0)</f>
        <v>0</v>
      </c>
      <c r="G40" s="459">
        <f>IFERROR(HLOOKUP(G$7,'REF Fuel Prices'!$A$11:$AH$85,26),0)</f>
        <v>0</v>
      </c>
      <c r="H40" s="459">
        <f>IFERROR(HLOOKUP(H$7,'REF Fuel Prices'!$A$11:$AH$85,26),0)</f>
        <v>0</v>
      </c>
      <c r="I40" s="459">
        <f>IFERROR(HLOOKUP(I$7,'REF Fuel Prices'!$A$11:$AH$85,26),0)</f>
        <v>0</v>
      </c>
      <c r="J40" s="459">
        <f>IFERROR(HLOOKUP(J$7,'REF Fuel Prices'!$A$11:$AH$85,26),0)</f>
        <v>5.1050589999999998</v>
      </c>
      <c r="K40" s="459">
        <f>IFERROR(HLOOKUP(K$7,'REF Fuel Prices'!$A$11:$AH$85,26),0)</f>
        <v>4.5184139999999999</v>
      </c>
      <c r="L40" s="459">
        <f>IFERROR(HLOOKUP(L$7,'REF Fuel Prices'!$A$11:$AH$85,26),0)</f>
        <v>4.2866369999999998</v>
      </c>
      <c r="M40" s="459">
        <f>IFERROR(HLOOKUP(M$7,'REF Fuel Prices'!$A$11:$AH$85,26),0)</f>
        <v>3.996505</v>
      </c>
      <c r="N40" s="459">
        <f>IFERROR(HLOOKUP(N$7,'REF Fuel Prices'!$A$11:$AH$85,26),0)</f>
        <v>3.8693710000000001</v>
      </c>
      <c r="O40" s="459">
        <f>IFERROR(HLOOKUP(O$7,'REF Fuel Prices'!$A$11:$AH$85,26),0)</f>
        <v>3.7410540000000001</v>
      </c>
      <c r="P40" s="459">
        <f>IFERROR(HLOOKUP(P$7,'REF Fuel Prices'!$A$11:$AH$85,26),0)</f>
        <v>3.6345890000000001</v>
      </c>
      <c r="Q40" s="459">
        <f>IFERROR(HLOOKUP(Q$7,'REF Fuel Prices'!$A$11:$AH$85,26),0)</f>
        <v>3.647751</v>
      </c>
      <c r="R40" s="459">
        <f>IFERROR(HLOOKUP(R$7,'REF Fuel Prices'!$A$11:$AH$85,26),0)</f>
        <v>3.6511490000000002</v>
      </c>
      <c r="S40" s="459">
        <f>IFERROR(HLOOKUP(S$7,'REF Fuel Prices'!$A$11:$AH$85,26),0)</f>
        <v>3.6727180000000001</v>
      </c>
      <c r="T40" s="459">
        <f>IFERROR(HLOOKUP(T$7,'REF Fuel Prices'!$A$11:$AH$85,26),0)</f>
        <v>3.6899760000000001</v>
      </c>
      <c r="U40" s="459">
        <f>IFERROR(HLOOKUP(U$7,'REF Fuel Prices'!$A$11:$AH$85,26),0)</f>
        <v>3.7063929999999998</v>
      </c>
      <c r="V40" s="459">
        <f>IFERROR(HLOOKUP(V$7,'REF Fuel Prices'!$A$11:$AH$85,26),0)</f>
        <v>3.7128269999999999</v>
      </c>
      <c r="W40" s="459">
        <f>IFERROR(HLOOKUP(W$7,'REF Fuel Prices'!$A$11:$AH$85,26),0)</f>
        <v>3.7413090000000002</v>
      </c>
      <c r="X40" s="459">
        <f>IFERROR(HLOOKUP(X$7,'REF Fuel Prices'!$A$11:$AH$85,26),0)</f>
        <v>3.7421289999999998</v>
      </c>
      <c r="Y40" s="459">
        <f>IFERROR(HLOOKUP(Y$7,'REF Fuel Prices'!$A$11:$AH$85,26),0)</f>
        <v>3.7611910000000002</v>
      </c>
      <c r="Z40" s="459">
        <f>IFERROR(HLOOKUP(Z$7,'REF Fuel Prices'!$A$11:$AH$85,26),0)</f>
        <v>3.7750789999999999</v>
      </c>
      <c r="AA40" s="459">
        <f>IFERROR(HLOOKUP(AA$7,'REF Fuel Prices'!$A$11:$AH$85,26),0)</f>
        <v>3.7809750000000002</v>
      </c>
      <c r="AB40" s="459">
        <f>IFERROR(HLOOKUP(AB$7,'REF Fuel Prices'!$A$11:$AH$85,26),0)</f>
        <v>3.787541</v>
      </c>
      <c r="AC40" s="459">
        <f>IFERROR(HLOOKUP(AC$7,'REF Fuel Prices'!$A$11:$AH$85,26),0)</f>
        <v>3.810997</v>
      </c>
      <c r="AD40" s="459">
        <f>IFERROR(HLOOKUP(AD$7,'REF Fuel Prices'!$A$11:$AH$85,26),0)</f>
        <v>3.8124370000000001</v>
      </c>
      <c r="AE40" s="459">
        <f>IFERROR(HLOOKUP(AE$7,'REF Fuel Prices'!$A$11:$AH$85,26),0)</f>
        <v>3.8289230000000001</v>
      </c>
      <c r="AF40" s="459">
        <f>IFERROR(HLOOKUP(AF$7,'REF Fuel Prices'!$A$11:$AH$85,26),0)</f>
        <v>3.8159420000000002</v>
      </c>
      <c r="AG40" s="459">
        <f>IFERROR(HLOOKUP(AG$7,'REF Fuel Prices'!$A$11:$AH$85,26),0)</f>
        <v>3.82362</v>
      </c>
      <c r="AH40" s="459">
        <f>IFERROR(HLOOKUP(AH$7,'REF Fuel Prices'!$A$11:$AH$85,26),0)</f>
        <v>3.9042400000000002</v>
      </c>
      <c r="AI40" s="459">
        <f>IFERROR(HLOOKUP(AI$7,'REF Fuel Prices'!$A$11:$AH$85,26),0)</f>
        <v>3.9077069999999998</v>
      </c>
      <c r="AJ40" s="459">
        <f>IFERROR(HLOOKUP(AJ$7,'REF Fuel Prices'!$A$11:$AH$85,26),0)</f>
        <v>3.9143530000000002</v>
      </c>
      <c r="AK40" s="459">
        <f>IFERROR(HLOOKUP(AK$7,'REF Fuel Prices'!$A$11:$AH$85,26),0)</f>
        <v>3.9231009999999999</v>
      </c>
      <c r="AL40" s="459">
        <f>IFERROR(HLOOKUP(AL$7,'REF Fuel Prices'!$A$11:$AH$85,26),0)</f>
        <v>3.9241450000000002</v>
      </c>
      <c r="AM40" s="459">
        <f>IFERROR(HLOOKUP(AM$7,'REF Fuel Prices'!$A$11:$AH$85,26),0)</f>
        <v>3.9241450000000002</v>
      </c>
      <c r="AN40" s="459">
        <f>IFERROR(HLOOKUP(AN$7,'REF Fuel Prices'!$A$11:$AH$85,26),0)</f>
        <v>3.9241450000000002</v>
      </c>
      <c r="AO40" s="459">
        <f>IFERROR(HLOOKUP(AO$7,'REF Fuel Prices'!$A$11:$AH$85,26),0)</f>
        <v>3.9241450000000002</v>
      </c>
      <c r="AP40" s="459">
        <f>IFERROR(HLOOKUP(AP$7,'REF Fuel Prices'!$A$11:$AH$85,26),0)</f>
        <v>3.9241450000000002</v>
      </c>
      <c r="AQ40" s="459">
        <f>IFERROR(HLOOKUP(AQ$7,'REF Fuel Prices'!$A$11:$AH$85,26),0)</f>
        <v>3.9241450000000002</v>
      </c>
      <c r="AR40" s="459">
        <f>IFERROR(HLOOKUP(AR$7,'REF Fuel Prices'!$A$11:$AH$85,26),0)</f>
        <v>3.9241450000000002</v>
      </c>
    </row>
    <row r="41" spans="1:44" ht="15" x14ac:dyDescent="0.25">
      <c r="A41" s="2"/>
      <c r="B41" s="380" t="s">
        <v>348</v>
      </c>
      <c r="C41" s="11" t="s">
        <v>331</v>
      </c>
      <c r="D41" s="417">
        <f>SUM(F41:AR41)</f>
        <v>22622152.911097124</v>
      </c>
      <c r="E41" s="380"/>
      <c r="F41" s="417">
        <f t="shared" ref="F41:J41" si="18">F35*F39</f>
        <v>0</v>
      </c>
      <c r="G41" s="417">
        <f t="shared" si="18"/>
        <v>0</v>
      </c>
      <c r="H41" s="417">
        <f t="shared" si="18"/>
        <v>0</v>
      </c>
      <c r="I41" s="417">
        <f t="shared" si="18"/>
        <v>0</v>
      </c>
      <c r="J41" s="417">
        <f t="shared" si="18"/>
        <v>0</v>
      </c>
      <c r="K41" s="417">
        <f>K35*K39</f>
        <v>373338.89626062504</v>
      </c>
      <c r="L41" s="417">
        <f t="shared" ref="L41:AR41" si="19">L35*L39</f>
        <v>359594.32101820654</v>
      </c>
      <c r="M41" s="417">
        <f t="shared" si="19"/>
        <v>355352.19466852176</v>
      </c>
      <c r="N41" s="417">
        <f t="shared" si="19"/>
        <v>371047.65037141851</v>
      </c>
      <c r="O41" s="417">
        <f t="shared" si="19"/>
        <v>388168.67770084785</v>
      </c>
      <c r="P41" s="417">
        <f t="shared" si="19"/>
        <v>407692.53882065229</v>
      </c>
      <c r="Q41" s="417">
        <f t="shared" si="19"/>
        <v>427772.57862480445</v>
      </c>
      <c r="R41" s="417">
        <f t="shared" si="19"/>
        <v>448684.10668193217</v>
      </c>
      <c r="S41" s="417">
        <f t="shared" si="19"/>
        <v>467432.94459727185</v>
      </c>
      <c r="T41" s="417">
        <f t="shared" si="19"/>
        <v>489376.89136337512</v>
      </c>
      <c r="U41" s="417">
        <f t="shared" si="19"/>
        <v>510095.73646304361</v>
      </c>
      <c r="V41" s="417">
        <f t="shared" si="19"/>
        <v>531437.3568596415</v>
      </c>
      <c r="W41" s="417">
        <f t="shared" si="19"/>
        <v>552235.90173148934</v>
      </c>
      <c r="X41" s="417">
        <f t="shared" si="19"/>
        <v>578049.28671242681</v>
      </c>
      <c r="Y41" s="417">
        <f t="shared" si="19"/>
        <v>598773.7796215436</v>
      </c>
      <c r="Z41" s="417">
        <f t="shared" si="19"/>
        <v>620543.59153243224</v>
      </c>
      <c r="AA41" s="417">
        <f t="shared" si="19"/>
        <v>643280.7493208861</v>
      </c>
      <c r="AB41" s="417">
        <f t="shared" si="19"/>
        <v>664183.45408641873</v>
      </c>
      <c r="AC41" s="417">
        <f t="shared" si="19"/>
        <v>684252.4616540873</v>
      </c>
      <c r="AD41" s="417">
        <f t="shared" si="19"/>
        <v>706126.11991275032</v>
      </c>
      <c r="AE41" s="417">
        <f t="shared" si="19"/>
        <v>723298.47367826104</v>
      </c>
      <c r="AF41" s="417">
        <f t="shared" si="19"/>
        <v>748198.62953579379</v>
      </c>
      <c r="AG41" s="417">
        <f t="shared" si="19"/>
        <v>768636.71571780462</v>
      </c>
      <c r="AH41" s="417">
        <f t="shared" si="19"/>
        <v>810717.11115037545</v>
      </c>
      <c r="AI41" s="417">
        <f t="shared" si="19"/>
        <v>831339.9628659623</v>
      </c>
      <c r="AJ41" s="417">
        <f t="shared" si="19"/>
        <v>858966.79687281279</v>
      </c>
      <c r="AK41" s="417">
        <f t="shared" si="19"/>
        <v>882101.11313504388</v>
      </c>
      <c r="AL41" s="417">
        <f t="shared" si="19"/>
        <v>910914.57140476129</v>
      </c>
      <c r="AM41" s="417">
        <f t="shared" si="19"/>
        <v>932107.56522882637</v>
      </c>
      <c r="AN41" s="417">
        <f t="shared" si="19"/>
        <v>953300.55905289168</v>
      </c>
      <c r="AO41" s="417">
        <f t="shared" si="19"/>
        <v>974493.55287695699</v>
      </c>
      <c r="AP41" s="417">
        <f t="shared" si="19"/>
        <v>995686.54670102219</v>
      </c>
      <c r="AQ41" s="417">
        <f t="shared" si="19"/>
        <v>1016879.5405250875</v>
      </c>
      <c r="AR41" s="417">
        <f t="shared" si="19"/>
        <v>1038072.5343491528</v>
      </c>
    </row>
    <row r="42" spans="1:44" x14ac:dyDescent="0.2">
      <c r="A42" s="380"/>
      <c r="B42" s="380" t="s">
        <v>349</v>
      </c>
      <c r="C42" s="11" t="s">
        <v>331</v>
      </c>
      <c r="D42" s="417">
        <f>SUM(F42:AR42)</f>
        <v>838055.0586915327</v>
      </c>
      <c r="E42" s="380"/>
      <c r="F42" s="417">
        <f t="shared" ref="F42:J42" si="20">F36*F40</f>
        <v>0</v>
      </c>
      <c r="G42" s="417">
        <f t="shared" si="20"/>
        <v>0</v>
      </c>
      <c r="H42" s="417">
        <f t="shared" si="20"/>
        <v>0</v>
      </c>
      <c r="I42" s="417">
        <f t="shared" si="20"/>
        <v>0</v>
      </c>
      <c r="J42" s="417">
        <f t="shared" si="20"/>
        <v>0</v>
      </c>
      <c r="K42" s="417">
        <f>K36*K40</f>
        <v>14224.532073750001</v>
      </c>
      <c r="L42" s="417">
        <f t="shared" ref="L42:AR42" si="21">L36*L40</f>
        <v>14339.255055334241</v>
      </c>
      <c r="M42" s="417">
        <f t="shared" si="21"/>
        <v>14155.968232173913</v>
      </c>
      <c r="N42" s="417">
        <f t="shared" si="21"/>
        <v>14467.841033877719</v>
      </c>
      <c r="O42" s="417">
        <f t="shared" si="21"/>
        <v>14724.971530336958</v>
      </c>
      <c r="P42" s="417">
        <f t="shared" si="21"/>
        <v>15021.864979605982</v>
      </c>
      <c r="Q42" s="417">
        <f t="shared" si="21"/>
        <v>15794.801479467393</v>
      </c>
      <c r="R42" s="417">
        <f t="shared" si="21"/>
        <v>16528.721758198375</v>
      </c>
      <c r="S42" s="417">
        <f t="shared" si="21"/>
        <v>17349.82002988044</v>
      </c>
      <c r="T42" s="417">
        <f t="shared" si="21"/>
        <v>18158.201435152179</v>
      </c>
      <c r="U42" s="417">
        <f t="shared" si="21"/>
        <v>18969.077652717395</v>
      </c>
      <c r="V42" s="417">
        <f t="shared" si="21"/>
        <v>19733.36273968207</v>
      </c>
      <c r="W42" s="417">
        <f t="shared" si="21"/>
        <v>20621.708877179357</v>
      </c>
      <c r="X42" s="417">
        <f t="shared" si="21"/>
        <v>21363.356863703808</v>
      </c>
      <c r="Y42" s="417">
        <f t="shared" si="21"/>
        <v>22213.062573358704</v>
      </c>
      <c r="Z42" s="417">
        <f t="shared" si="21"/>
        <v>23038.701893355985</v>
      </c>
      <c r="AA42" s="417">
        <f t="shared" si="21"/>
        <v>23819.464390353271</v>
      </c>
      <c r="AB42" s="417">
        <f t="shared" si="21"/>
        <v>24606.902544138597</v>
      </c>
      <c r="AC42" s="417">
        <f t="shared" si="21"/>
        <v>25509.985440391312</v>
      </c>
      <c r="AD42" s="417">
        <f t="shared" si="21"/>
        <v>26270.602057165772</v>
      </c>
      <c r="AE42" s="417">
        <f t="shared" si="21"/>
        <v>27138.428183885881</v>
      </c>
      <c r="AF42" s="417">
        <f t="shared" si="21"/>
        <v>27798.090159831536</v>
      </c>
      <c r="AG42" s="417">
        <f t="shared" si="21"/>
        <v>28607.202690652186</v>
      </c>
      <c r="AH42" s="417">
        <f t="shared" si="21"/>
        <v>29979.438885000014</v>
      </c>
      <c r="AI42" s="417">
        <f t="shared" si="21"/>
        <v>30775.804842179361</v>
      </c>
      <c r="AJ42" s="417">
        <f t="shared" si="21"/>
        <v>31599.199618084251</v>
      </c>
      <c r="AK42" s="417">
        <f t="shared" si="21"/>
        <v>32442.595428326098</v>
      </c>
      <c r="AL42" s="417">
        <f t="shared" si="21"/>
        <v>33224.210843437526</v>
      </c>
      <c r="AM42" s="417">
        <f t="shared" si="21"/>
        <v>33997.192764375017</v>
      </c>
      <c r="AN42" s="417">
        <f t="shared" si="21"/>
        <v>34770.174685312515</v>
      </c>
      <c r="AO42" s="417">
        <f t="shared" si="21"/>
        <v>35543.156606250021</v>
      </c>
      <c r="AP42" s="417">
        <f t="shared" si="21"/>
        <v>36316.138527187511</v>
      </c>
      <c r="AQ42" s="417">
        <f t="shared" si="21"/>
        <v>37089.120448125024</v>
      </c>
      <c r="AR42" s="417">
        <f t="shared" si="21"/>
        <v>37862.102369062522</v>
      </c>
    </row>
    <row r="43" spans="1:44" x14ac:dyDescent="0.2">
      <c r="A43" s="380"/>
      <c r="B43" s="380"/>
      <c r="C43" s="11"/>
      <c r="D43" s="440"/>
      <c r="E43" s="380"/>
      <c r="F43" s="417"/>
      <c r="G43" s="417"/>
      <c r="H43" s="417"/>
      <c r="I43" s="417"/>
      <c r="J43" s="417"/>
      <c r="K43" s="417"/>
      <c r="L43" s="417"/>
      <c r="M43" s="417"/>
      <c r="N43" s="417"/>
      <c r="O43" s="417"/>
      <c r="P43" s="417"/>
      <c r="Q43" s="417"/>
      <c r="R43" s="417"/>
      <c r="S43" s="417"/>
      <c r="T43" s="417"/>
      <c r="U43" s="417"/>
      <c r="V43" s="417"/>
      <c r="W43" s="417"/>
      <c r="X43" s="417"/>
      <c r="Y43" s="417"/>
      <c r="Z43" s="417"/>
      <c r="AA43" s="417"/>
      <c r="AB43" s="417"/>
      <c r="AC43" s="417"/>
      <c r="AD43" s="417"/>
      <c r="AE43" s="417"/>
      <c r="AF43" s="417"/>
      <c r="AG43" s="417"/>
      <c r="AH43" s="417"/>
      <c r="AI43" s="417"/>
      <c r="AJ43" s="417"/>
      <c r="AK43" s="417"/>
      <c r="AL43" s="417"/>
      <c r="AM43" s="417"/>
      <c r="AN43" s="417"/>
      <c r="AO43" s="417"/>
      <c r="AP43" s="417"/>
      <c r="AQ43" s="417"/>
      <c r="AR43" s="417"/>
    </row>
    <row r="44" spans="1:44" ht="15" x14ac:dyDescent="0.25">
      <c r="A44" s="2" t="s">
        <v>319</v>
      </c>
      <c r="B44" s="380"/>
      <c r="C44" s="52"/>
      <c r="D44" s="440"/>
      <c r="E44" s="380"/>
      <c r="F44" s="417"/>
      <c r="G44" s="417"/>
      <c r="H44" s="417"/>
      <c r="I44" s="417"/>
      <c r="J44" s="417"/>
      <c r="K44" s="417"/>
      <c r="L44" s="417"/>
      <c r="M44" s="417"/>
      <c r="N44" s="417"/>
      <c r="O44" s="417"/>
      <c r="P44" s="417"/>
      <c r="Q44" s="417"/>
      <c r="R44" s="417"/>
      <c r="S44" s="417"/>
      <c r="T44" s="417"/>
      <c r="U44" s="417"/>
      <c r="V44" s="417"/>
      <c r="W44" s="417"/>
      <c r="X44" s="417"/>
      <c r="Y44" s="417"/>
      <c r="Z44" s="417"/>
      <c r="AA44" s="417"/>
      <c r="AB44" s="417"/>
      <c r="AC44" s="417"/>
      <c r="AD44" s="417"/>
      <c r="AE44" s="417"/>
      <c r="AF44" s="417"/>
      <c r="AG44" s="417"/>
      <c r="AH44" s="417"/>
      <c r="AI44" s="417"/>
      <c r="AJ44" s="417"/>
      <c r="AK44" s="417"/>
      <c r="AL44" s="417"/>
      <c r="AM44" s="417"/>
      <c r="AN44" s="417"/>
      <c r="AO44" s="417"/>
      <c r="AP44" s="417"/>
      <c r="AQ44" s="417"/>
      <c r="AR44" s="417"/>
    </row>
    <row r="45" spans="1:44" x14ac:dyDescent="0.2">
      <c r="A45" s="380"/>
      <c r="B45" s="380" t="s">
        <v>320</v>
      </c>
      <c r="C45" s="11" t="s">
        <v>310</v>
      </c>
      <c r="D45" s="440">
        <f>SUM(F45:AR45)</f>
        <v>23460207.969788663</v>
      </c>
      <c r="E45" s="380"/>
      <c r="F45" s="417">
        <f t="shared" ref="F45:J45" si="22">F41+F42</f>
        <v>0</v>
      </c>
      <c r="G45" s="417">
        <f t="shared" si="22"/>
        <v>0</v>
      </c>
      <c r="H45" s="417">
        <f t="shared" si="22"/>
        <v>0</v>
      </c>
      <c r="I45" s="417">
        <f t="shared" si="22"/>
        <v>0</v>
      </c>
      <c r="J45" s="417">
        <f t="shared" si="22"/>
        <v>0</v>
      </c>
      <c r="K45" s="417">
        <f>K41+K42</f>
        <v>387563.42833437503</v>
      </c>
      <c r="L45" s="417">
        <f t="shared" ref="L45:AR45" si="23">L41+L42</f>
        <v>373933.57607354078</v>
      </c>
      <c r="M45" s="417">
        <f t="shared" si="23"/>
        <v>369508.16290069569</v>
      </c>
      <c r="N45" s="417">
        <f t="shared" si="23"/>
        <v>385515.49140529626</v>
      </c>
      <c r="O45" s="417">
        <f t="shared" si="23"/>
        <v>402893.6492311848</v>
      </c>
      <c r="P45" s="417">
        <f t="shared" si="23"/>
        <v>422714.4038002583</v>
      </c>
      <c r="Q45" s="417">
        <f t="shared" si="23"/>
        <v>443567.38010427181</v>
      </c>
      <c r="R45" s="417">
        <f t="shared" si="23"/>
        <v>465212.82844013057</v>
      </c>
      <c r="S45" s="417">
        <f t="shared" si="23"/>
        <v>484782.7646271523</v>
      </c>
      <c r="T45" s="417">
        <f t="shared" si="23"/>
        <v>507535.09279852733</v>
      </c>
      <c r="U45" s="417">
        <f t="shared" si="23"/>
        <v>529064.81411576096</v>
      </c>
      <c r="V45" s="417">
        <f t="shared" si="23"/>
        <v>551170.71959932358</v>
      </c>
      <c r="W45" s="417">
        <f t="shared" si="23"/>
        <v>572857.61060866865</v>
      </c>
      <c r="X45" s="417">
        <f t="shared" si="23"/>
        <v>599412.64357613062</v>
      </c>
      <c r="Y45" s="417">
        <f t="shared" si="23"/>
        <v>620986.84219490224</v>
      </c>
      <c r="Z45" s="417">
        <f t="shared" si="23"/>
        <v>643582.29342578817</v>
      </c>
      <c r="AA45" s="417">
        <f t="shared" si="23"/>
        <v>667100.2137112394</v>
      </c>
      <c r="AB45" s="417">
        <f t="shared" si="23"/>
        <v>688790.35663055733</v>
      </c>
      <c r="AC45" s="417">
        <f t="shared" si="23"/>
        <v>709762.44709447864</v>
      </c>
      <c r="AD45" s="417">
        <f t="shared" si="23"/>
        <v>732396.72196991614</v>
      </c>
      <c r="AE45" s="417">
        <f t="shared" si="23"/>
        <v>750436.90186214691</v>
      </c>
      <c r="AF45" s="417">
        <f t="shared" si="23"/>
        <v>775996.71969562536</v>
      </c>
      <c r="AG45" s="417">
        <f t="shared" si="23"/>
        <v>797243.91840845684</v>
      </c>
      <c r="AH45" s="417">
        <f t="shared" si="23"/>
        <v>840696.55003537552</v>
      </c>
      <c r="AI45" s="417">
        <f t="shared" si="23"/>
        <v>862115.76770814171</v>
      </c>
      <c r="AJ45" s="417">
        <f t="shared" si="23"/>
        <v>890565.99649089703</v>
      </c>
      <c r="AK45" s="417">
        <f t="shared" si="23"/>
        <v>914543.70856336993</v>
      </c>
      <c r="AL45" s="417">
        <f t="shared" si="23"/>
        <v>944138.78224819875</v>
      </c>
      <c r="AM45" s="417">
        <f t="shared" si="23"/>
        <v>966104.75799320138</v>
      </c>
      <c r="AN45" s="417">
        <f t="shared" si="23"/>
        <v>988070.73373820423</v>
      </c>
      <c r="AO45" s="417">
        <f t="shared" si="23"/>
        <v>1010036.709483207</v>
      </c>
      <c r="AP45" s="417">
        <f t="shared" si="23"/>
        <v>1032002.6852282097</v>
      </c>
      <c r="AQ45" s="417">
        <f t="shared" si="23"/>
        <v>1053968.6609732124</v>
      </c>
      <c r="AR45" s="417">
        <f t="shared" si="23"/>
        <v>1075934.6367182154</v>
      </c>
    </row>
    <row r="46" spans="1:44" x14ac:dyDescent="0.2">
      <c r="A46" s="380"/>
      <c r="B46" s="380"/>
      <c r="C46" s="7"/>
      <c r="D46" s="380"/>
      <c r="E46" s="380"/>
      <c r="F46" s="463"/>
      <c r="G46" s="463"/>
      <c r="H46" s="463"/>
      <c r="I46" s="463"/>
      <c r="J46" s="463"/>
      <c r="K46" s="463"/>
      <c r="L46" s="463"/>
      <c r="M46" s="463"/>
      <c r="N46" s="463"/>
      <c r="O46" s="463"/>
      <c r="P46" s="463"/>
      <c r="Q46" s="463"/>
      <c r="R46" s="463"/>
      <c r="S46" s="463"/>
      <c r="T46" s="463"/>
      <c r="U46" s="463"/>
      <c r="V46" s="463"/>
      <c r="W46" s="463"/>
      <c r="X46" s="463"/>
      <c r="Y46" s="463"/>
      <c r="Z46" s="463"/>
      <c r="AA46" s="463"/>
      <c r="AB46" s="463"/>
      <c r="AC46" s="463"/>
      <c r="AD46" s="463"/>
      <c r="AE46" s="463"/>
      <c r="AF46" s="463"/>
      <c r="AG46" s="463"/>
      <c r="AH46" s="463"/>
      <c r="AI46" s="463"/>
      <c r="AJ46" s="463"/>
      <c r="AK46" s="463"/>
      <c r="AL46" s="463"/>
      <c r="AM46" s="463"/>
      <c r="AN46" s="463"/>
      <c r="AO46" s="463"/>
      <c r="AP46" s="463"/>
      <c r="AQ46" s="463"/>
      <c r="AR46" s="463"/>
    </row>
    <row r="47" spans="1:44" s="4" customFormat="1" x14ac:dyDescent="0.2">
      <c r="A47" s="449" t="s">
        <v>255</v>
      </c>
      <c r="B47" s="8"/>
      <c r="C47" s="8"/>
      <c r="D47" s="450"/>
      <c r="E47" s="450"/>
      <c r="F47" s="450"/>
      <c r="G47" s="450"/>
      <c r="H47" s="450"/>
      <c r="I47" s="450"/>
      <c r="J47" s="450"/>
      <c r="K47" s="450"/>
      <c r="L47" s="450"/>
      <c r="M47" s="450"/>
      <c r="N47" s="450"/>
      <c r="O47" s="450"/>
      <c r="P47" s="450"/>
      <c r="Q47" s="450"/>
      <c r="R47" s="450"/>
      <c r="S47" s="450"/>
      <c r="T47" s="450"/>
      <c r="U47" s="450"/>
      <c r="V47" s="450"/>
      <c r="W47" s="450"/>
      <c r="X47" s="450"/>
      <c r="Y47" s="450"/>
      <c r="Z47" s="450"/>
      <c r="AA47" s="450"/>
      <c r="AB47" s="450"/>
      <c r="AC47" s="450"/>
      <c r="AD47" s="450"/>
      <c r="AE47" s="450"/>
      <c r="AF47" s="450"/>
      <c r="AG47" s="450"/>
      <c r="AH47" s="450"/>
      <c r="AI47" s="450"/>
      <c r="AJ47" s="450"/>
      <c r="AK47" s="450"/>
      <c r="AL47" s="450"/>
      <c r="AM47" s="450"/>
      <c r="AN47" s="450"/>
      <c r="AO47" s="450"/>
      <c r="AP47" s="450"/>
      <c r="AQ47" s="450"/>
      <c r="AR47" s="450"/>
    </row>
    <row r="48" spans="1:44" ht="15" x14ac:dyDescent="0.25">
      <c r="A48" s="2" t="s">
        <v>334</v>
      </c>
      <c r="B48" s="380"/>
      <c r="C48" s="380"/>
      <c r="D48" s="380"/>
      <c r="E48" s="380"/>
      <c r="F48" s="380"/>
      <c r="G48" s="380"/>
      <c r="H48" s="380"/>
      <c r="I48" s="380"/>
      <c r="J48" s="380"/>
      <c r="K48" s="380"/>
      <c r="L48" s="380"/>
      <c r="M48" s="380"/>
      <c r="N48" s="380"/>
      <c r="O48" s="380"/>
      <c r="P48" s="380"/>
      <c r="Q48" s="380"/>
      <c r="R48" s="380"/>
      <c r="S48" s="380"/>
      <c r="T48" s="380"/>
      <c r="U48" s="380"/>
      <c r="V48" s="380"/>
      <c r="W48" s="380"/>
      <c r="X48" s="380"/>
      <c r="Y48" s="380"/>
      <c r="Z48" s="380"/>
      <c r="AA48" s="380"/>
      <c r="AB48" s="380"/>
      <c r="AC48" s="380"/>
      <c r="AD48" s="380"/>
      <c r="AE48" s="380"/>
      <c r="AF48" s="380"/>
      <c r="AG48" s="380"/>
      <c r="AH48" s="380"/>
      <c r="AI48" s="380"/>
      <c r="AJ48" s="380"/>
      <c r="AK48" s="380"/>
      <c r="AL48" s="380"/>
      <c r="AM48" s="380"/>
      <c r="AN48" s="380"/>
      <c r="AO48" s="380"/>
      <c r="AP48" s="380"/>
      <c r="AQ48" s="380"/>
      <c r="AR48" s="380"/>
    </row>
    <row r="49" spans="1:44" ht="15" x14ac:dyDescent="0.25">
      <c r="A49" s="380"/>
      <c r="B49" s="2" t="s">
        <v>335</v>
      </c>
      <c r="C49" s="52"/>
      <c r="D49" s="440"/>
      <c r="E49" s="380"/>
      <c r="F49" s="417"/>
      <c r="G49" s="417"/>
      <c r="H49" s="417"/>
      <c r="I49" s="417"/>
      <c r="J49" s="417"/>
      <c r="K49" s="417"/>
      <c r="L49" s="417"/>
      <c r="M49" s="417"/>
      <c r="N49" s="417"/>
      <c r="O49" s="417"/>
      <c r="P49" s="417"/>
      <c r="Q49" s="417"/>
      <c r="R49" s="417"/>
      <c r="S49" s="417"/>
      <c r="T49" s="417"/>
      <c r="U49" s="417"/>
      <c r="V49" s="417"/>
      <c r="W49" s="417"/>
      <c r="X49" s="417"/>
      <c r="Y49" s="417"/>
      <c r="Z49" s="417"/>
      <c r="AA49" s="417"/>
      <c r="AB49" s="417"/>
      <c r="AC49" s="417"/>
      <c r="AD49" s="417"/>
      <c r="AE49" s="417"/>
      <c r="AF49" s="417"/>
      <c r="AG49" s="417"/>
      <c r="AH49" s="417"/>
      <c r="AI49" s="417"/>
      <c r="AJ49" s="417"/>
      <c r="AK49" s="417"/>
      <c r="AL49" s="417"/>
      <c r="AM49" s="417"/>
      <c r="AN49" s="417"/>
      <c r="AO49" s="417"/>
      <c r="AP49" s="417"/>
      <c r="AQ49" s="417"/>
      <c r="AR49" s="417"/>
    </row>
    <row r="50" spans="1:44" x14ac:dyDescent="0.2">
      <c r="A50" s="380"/>
      <c r="B50" s="380" t="s">
        <v>190</v>
      </c>
      <c r="C50" s="52" t="s">
        <v>188</v>
      </c>
      <c r="D50" s="432">
        <f>Inputs!$E$140</f>
        <v>245</v>
      </c>
      <c r="E50" s="380"/>
      <c r="F50" s="458">
        <f t="shared" ref="F50:AR50" si="24">IF(F$7=$D$51,$D$50,0)</f>
        <v>0</v>
      </c>
      <c r="G50" s="458">
        <f t="shared" si="24"/>
        <v>0</v>
      </c>
      <c r="H50" s="458">
        <f t="shared" si="24"/>
        <v>0</v>
      </c>
      <c r="I50" s="458">
        <f t="shared" si="24"/>
        <v>0</v>
      </c>
      <c r="J50" s="458">
        <f t="shared" si="24"/>
        <v>0</v>
      </c>
      <c r="K50" s="458">
        <f t="shared" si="24"/>
        <v>245</v>
      </c>
      <c r="L50" s="458">
        <f t="shared" si="24"/>
        <v>0</v>
      </c>
      <c r="M50" s="458">
        <f t="shared" si="24"/>
        <v>0</v>
      </c>
      <c r="N50" s="458">
        <f t="shared" si="24"/>
        <v>0</v>
      </c>
      <c r="O50" s="458">
        <f t="shared" si="24"/>
        <v>0</v>
      </c>
      <c r="P50" s="458">
        <f t="shared" si="24"/>
        <v>0</v>
      </c>
      <c r="Q50" s="458">
        <f t="shared" si="24"/>
        <v>0</v>
      </c>
      <c r="R50" s="458">
        <f t="shared" si="24"/>
        <v>0</v>
      </c>
      <c r="S50" s="458">
        <f t="shared" si="24"/>
        <v>0</v>
      </c>
      <c r="T50" s="458">
        <f t="shared" si="24"/>
        <v>0</v>
      </c>
      <c r="U50" s="458">
        <f t="shared" si="24"/>
        <v>0</v>
      </c>
      <c r="V50" s="458">
        <f t="shared" si="24"/>
        <v>0</v>
      </c>
      <c r="W50" s="458">
        <f t="shared" si="24"/>
        <v>0</v>
      </c>
      <c r="X50" s="458">
        <f t="shared" si="24"/>
        <v>0</v>
      </c>
      <c r="Y50" s="458">
        <f t="shared" si="24"/>
        <v>0</v>
      </c>
      <c r="Z50" s="458">
        <f t="shared" si="24"/>
        <v>0</v>
      </c>
      <c r="AA50" s="458">
        <f t="shared" si="24"/>
        <v>0</v>
      </c>
      <c r="AB50" s="458">
        <f t="shared" si="24"/>
        <v>0</v>
      </c>
      <c r="AC50" s="458">
        <f t="shared" si="24"/>
        <v>0</v>
      </c>
      <c r="AD50" s="458">
        <f t="shared" si="24"/>
        <v>0</v>
      </c>
      <c r="AE50" s="458">
        <f t="shared" si="24"/>
        <v>0</v>
      </c>
      <c r="AF50" s="458">
        <f t="shared" si="24"/>
        <v>0</v>
      </c>
      <c r="AG50" s="458">
        <f t="shared" si="24"/>
        <v>0</v>
      </c>
      <c r="AH50" s="458">
        <f t="shared" si="24"/>
        <v>0</v>
      </c>
      <c r="AI50" s="458">
        <f t="shared" si="24"/>
        <v>0</v>
      </c>
      <c r="AJ50" s="458">
        <f t="shared" si="24"/>
        <v>0</v>
      </c>
      <c r="AK50" s="458">
        <f t="shared" si="24"/>
        <v>0</v>
      </c>
      <c r="AL50" s="458">
        <f t="shared" si="24"/>
        <v>0</v>
      </c>
      <c r="AM50" s="458">
        <f t="shared" si="24"/>
        <v>0</v>
      </c>
      <c r="AN50" s="458">
        <f t="shared" si="24"/>
        <v>0</v>
      </c>
      <c r="AO50" s="458">
        <f t="shared" si="24"/>
        <v>0</v>
      </c>
      <c r="AP50" s="458">
        <f t="shared" si="24"/>
        <v>0</v>
      </c>
      <c r="AQ50" s="458">
        <f t="shared" si="24"/>
        <v>0</v>
      </c>
      <c r="AR50" s="458">
        <f t="shared" si="24"/>
        <v>0</v>
      </c>
    </row>
    <row r="51" spans="1:44" x14ac:dyDescent="0.2">
      <c r="A51" s="380"/>
      <c r="B51" s="380" t="s">
        <v>190</v>
      </c>
      <c r="C51" s="52" t="s">
        <v>120</v>
      </c>
      <c r="D51" s="428">
        <f>Inputs!$E$141</f>
        <v>2023</v>
      </c>
      <c r="E51" s="380"/>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7"/>
      <c r="AD51" s="417"/>
      <c r="AE51" s="417"/>
      <c r="AF51" s="417"/>
      <c r="AG51" s="417"/>
      <c r="AH51" s="417"/>
      <c r="AI51" s="417"/>
      <c r="AJ51" s="417"/>
      <c r="AK51" s="417"/>
      <c r="AL51" s="417"/>
      <c r="AM51" s="417"/>
      <c r="AN51" s="417"/>
      <c r="AO51" s="417"/>
      <c r="AP51" s="417"/>
      <c r="AQ51" s="417"/>
      <c r="AR51" s="417"/>
    </row>
    <row r="52" spans="1:44" x14ac:dyDescent="0.2">
      <c r="A52" s="380"/>
      <c r="B52" s="380" t="s">
        <v>191</v>
      </c>
      <c r="C52" s="52" t="s">
        <v>188</v>
      </c>
      <c r="D52" s="432">
        <f>Inputs!$E$142</f>
        <v>498.75</v>
      </c>
      <c r="E52" s="380"/>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c r="AN52" s="417"/>
      <c r="AO52" s="417"/>
      <c r="AP52" s="417"/>
      <c r="AQ52" s="417"/>
      <c r="AR52" s="417"/>
    </row>
    <row r="53" spans="1:44" x14ac:dyDescent="0.2">
      <c r="A53" s="380"/>
      <c r="B53" s="380" t="s">
        <v>191</v>
      </c>
      <c r="C53" s="52" t="s">
        <v>120</v>
      </c>
      <c r="D53" s="428">
        <f>Inputs!$E$143</f>
        <v>2046</v>
      </c>
      <c r="E53" s="380"/>
      <c r="F53" s="417"/>
      <c r="G53" s="417"/>
      <c r="H53" s="417"/>
      <c r="I53" s="417"/>
      <c r="J53" s="417"/>
      <c r="K53" s="417"/>
      <c r="L53" s="417"/>
      <c r="M53" s="417"/>
      <c r="N53" s="417"/>
      <c r="O53" s="417"/>
      <c r="P53" s="417"/>
      <c r="Q53" s="417"/>
      <c r="R53" s="417"/>
      <c r="S53" s="417"/>
      <c r="T53" s="417"/>
      <c r="U53" s="417"/>
      <c r="V53" s="417"/>
      <c r="W53" s="417"/>
      <c r="X53" s="417"/>
      <c r="Y53" s="417"/>
      <c r="Z53" s="417"/>
      <c r="AA53" s="417"/>
      <c r="AB53" s="417"/>
      <c r="AC53" s="417"/>
      <c r="AD53" s="417"/>
      <c r="AE53" s="417"/>
      <c r="AF53" s="417"/>
      <c r="AG53" s="417"/>
      <c r="AH53" s="417"/>
      <c r="AI53" s="417"/>
      <c r="AJ53" s="417"/>
      <c r="AK53" s="417"/>
      <c r="AL53" s="417"/>
      <c r="AM53" s="417"/>
      <c r="AN53" s="417"/>
      <c r="AO53" s="417"/>
      <c r="AP53" s="417"/>
      <c r="AQ53" s="417"/>
      <c r="AR53" s="417"/>
    </row>
    <row r="54" spans="1:44" x14ac:dyDescent="0.2">
      <c r="A54" s="380"/>
      <c r="B54" s="380" t="s">
        <v>301</v>
      </c>
      <c r="C54" s="52" t="s">
        <v>338</v>
      </c>
      <c r="D54" s="459">
        <f>(D52-D50)/(D53-D51)</f>
        <v>11.032608695652174</v>
      </c>
      <c r="E54" s="380"/>
      <c r="F54" s="417"/>
      <c r="G54" s="417"/>
      <c r="H54" s="417"/>
      <c r="I54" s="417"/>
      <c r="J54" s="417"/>
      <c r="K54" s="417"/>
      <c r="L54" s="417"/>
      <c r="M54" s="417"/>
      <c r="N54" s="417"/>
      <c r="O54" s="417"/>
      <c r="P54" s="417"/>
      <c r="Q54" s="417"/>
      <c r="R54" s="417"/>
      <c r="S54" s="417"/>
      <c r="T54" s="417"/>
      <c r="U54" s="417"/>
      <c r="V54" s="417"/>
      <c r="W54" s="417"/>
      <c r="X54" s="417"/>
      <c r="Y54" s="417"/>
      <c r="Z54" s="417"/>
      <c r="AA54" s="417"/>
      <c r="AB54" s="417"/>
      <c r="AC54" s="417"/>
      <c r="AD54" s="417"/>
      <c r="AE54" s="417"/>
      <c r="AF54" s="417"/>
      <c r="AG54" s="417"/>
      <c r="AH54" s="417"/>
      <c r="AI54" s="417"/>
      <c r="AJ54" s="417"/>
      <c r="AK54" s="417"/>
      <c r="AL54" s="417"/>
      <c r="AM54" s="417"/>
      <c r="AN54" s="417"/>
      <c r="AO54" s="417"/>
      <c r="AP54" s="417"/>
      <c r="AQ54" s="417"/>
      <c r="AR54" s="417"/>
    </row>
    <row r="55" spans="1:44" x14ac:dyDescent="0.2">
      <c r="A55" s="380"/>
      <c r="B55" s="380" t="s">
        <v>302</v>
      </c>
      <c r="C55" s="52" t="s">
        <v>106</v>
      </c>
      <c r="D55" s="453"/>
      <c r="E55" s="380"/>
      <c r="F55" s="417">
        <f t="shared" ref="F55:AR55" si="25">IF(F7&gt;$D$24,1,0)</f>
        <v>0</v>
      </c>
      <c r="G55" s="417">
        <f t="shared" si="25"/>
        <v>0</v>
      </c>
      <c r="H55" s="417">
        <f t="shared" si="25"/>
        <v>0</v>
      </c>
      <c r="I55" s="417">
        <f t="shared" si="25"/>
        <v>0</v>
      </c>
      <c r="J55" s="417">
        <f t="shared" si="25"/>
        <v>0</v>
      </c>
      <c r="K55" s="417">
        <f t="shared" si="25"/>
        <v>0</v>
      </c>
      <c r="L55" s="417">
        <f t="shared" si="25"/>
        <v>1</v>
      </c>
      <c r="M55" s="417">
        <f t="shared" si="25"/>
        <v>1</v>
      </c>
      <c r="N55" s="417">
        <f t="shared" si="25"/>
        <v>1</v>
      </c>
      <c r="O55" s="417">
        <f t="shared" si="25"/>
        <v>1</v>
      </c>
      <c r="P55" s="417">
        <f t="shared" si="25"/>
        <v>1</v>
      </c>
      <c r="Q55" s="417">
        <f t="shared" si="25"/>
        <v>1</v>
      </c>
      <c r="R55" s="417">
        <f t="shared" si="25"/>
        <v>1</v>
      </c>
      <c r="S55" s="417">
        <f t="shared" si="25"/>
        <v>1</v>
      </c>
      <c r="T55" s="417">
        <f t="shared" si="25"/>
        <v>1</v>
      </c>
      <c r="U55" s="417">
        <f t="shared" si="25"/>
        <v>1</v>
      </c>
      <c r="V55" s="417">
        <f t="shared" si="25"/>
        <v>1</v>
      </c>
      <c r="W55" s="417">
        <f t="shared" si="25"/>
        <v>1</v>
      </c>
      <c r="X55" s="417">
        <f t="shared" si="25"/>
        <v>1</v>
      </c>
      <c r="Y55" s="417">
        <f t="shared" si="25"/>
        <v>1</v>
      </c>
      <c r="Z55" s="417">
        <f t="shared" si="25"/>
        <v>1</v>
      </c>
      <c r="AA55" s="417">
        <f t="shared" si="25"/>
        <v>1</v>
      </c>
      <c r="AB55" s="417">
        <f t="shared" si="25"/>
        <v>1</v>
      </c>
      <c r="AC55" s="417">
        <f t="shared" si="25"/>
        <v>1</v>
      </c>
      <c r="AD55" s="417">
        <f t="shared" si="25"/>
        <v>1</v>
      </c>
      <c r="AE55" s="417">
        <f t="shared" si="25"/>
        <v>1</v>
      </c>
      <c r="AF55" s="417">
        <f t="shared" si="25"/>
        <v>1</v>
      </c>
      <c r="AG55" s="417">
        <f t="shared" si="25"/>
        <v>1</v>
      </c>
      <c r="AH55" s="417">
        <f t="shared" si="25"/>
        <v>1</v>
      </c>
      <c r="AI55" s="417">
        <f t="shared" si="25"/>
        <v>1</v>
      </c>
      <c r="AJ55" s="417">
        <f t="shared" si="25"/>
        <v>1</v>
      </c>
      <c r="AK55" s="417">
        <f t="shared" si="25"/>
        <v>1</v>
      </c>
      <c r="AL55" s="417">
        <f t="shared" si="25"/>
        <v>1</v>
      </c>
      <c r="AM55" s="417">
        <f t="shared" si="25"/>
        <v>1</v>
      </c>
      <c r="AN55" s="417">
        <f t="shared" si="25"/>
        <v>1</v>
      </c>
      <c r="AO55" s="417">
        <f t="shared" si="25"/>
        <v>1</v>
      </c>
      <c r="AP55" s="417">
        <f t="shared" si="25"/>
        <v>1</v>
      </c>
      <c r="AQ55" s="417">
        <f t="shared" si="25"/>
        <v>1</v>
      </c>
      <c r="AR55" s="417">
        <f t="shared" si="25"/>
        <v>1</v>
      </c>
    </row>
    <row r="56" spans="1:44" ht="15" x14ac:dyDescent="0.25">
      <c r="A56" s="2"/>
      <c r="B56" s="380" t="s">
        <v>339</v>
      </c>
      <c r="C56" s="52" t="s">
        <v>338</v>
      </c>
      <c r="D56" s="432">
        <f>SUM(F56:AR56)</f>
        <v>14519.293478260874</v>
      </c>
      <c r="E56" s="380"/>
      <c r="F56" s="440">
        <f t="shared" ref="F56:K56" si="26">E56+F50+F55*$D$54</f>
        <v>0</v>
      </c>
      <c r="G56" s="440">
        <f t="shared" si="26"/>
        <v>0</v>
      </c>
      <c r="H56" s="440">
        <f t="shared" si="26"/>
        <v>0</v>
      </c>
      <c r="I56" s="440">
        <f t="shared" si="26"/>
        <v>0</v>
      </c>
      <c r="J56" s="440">
        <f t="shared" si="26"/>
        <v>0</v>
      </c>
      <c r="K56" s="440">
        <f t="shared" si="26"/>
        <v>245</v>
      </c>
      <c r="L56" s="440">
        <f>K56+L50+L55*$D$54</f>
        <v>256.03260869565219</v>
      </c>
      <c r="M56" s="440">
        <f t="shared" ref="M56:AR56" si="27">L56+M50+M55*$D$54</f>
        <v>267.06521739130437</v>
      </c>
      <c r="N56" s="440">
        <f t="shared" si="27"/>
        <v>278.09782608695656</v>
      </c>
      <c r="O56" s="440">
        <f t="shared" si="27"/>
        <v>289.13043478260875</v>
      </c>
      <c r="P56" s="440">
        <f t="shared" si="27"/>
        <v>300.16304347826093</v>
      </c>
      <c r="Q56" s="440">
        <f t="shared" si="27"/>
        <v>311.19565217391312</v>
      </c>
      <c r="R56" s="440">
        <f t="shared" si="27"/>
        <v>322.2282608695653</v>
      </c>
      <c r="S56" s="440">
        <f t="shared" si="27"/>
        <v>333.26086956521749</v>
      </c>
      <c r="T56" s="440">
        <f t="shared" si="27"/>
        <v>344.29347826086968</v>
      </c>
      <c r="U56" s="440">
        <f t="shared" si="27"/>
        <v>355.32608695652186</v>
      </c>
      <c r="V56" s="440">
        <f t="shared" si="27"/>
        <v>366.35869565217405</v>
      </c>
      <c r="W56" s="440">
        <f t="shared" si="27"/>
        <v>377.39130434782624</v>
      </c>
      <c r="X56" s="440">
        <f t="shared" si="27"/>
        <v>388.42391304347842</v>
      </c>
      <c r="Y56" s="440">
        <f t="shared" si="27"/>
        <v>399.45652173913061</v>
      </c>
      <c r="Z56" s="440">
        <f t="shared" si="27"/>
        <v>410.48913043478279</v>
      </c>
      <c r="AA56" s="440">
        <f t="shared" si="27"/>
        <v>421.52173913043498</v>
      </c>
      <c r="AB56" s="440">
        <f t="shared" si="27"/>
        <v>432.55434782608717</v>
      </c>
      <c r="AC56" s="440">
        <f t="shared" si="27"/>
        <v>443.58695652173935</v>
      </c>
      <c r="AD56" s="440">
        <f t="shared" si="27"/>
        <v>454.61956521739154</v>
      </c>
      <c r="AE56" s="440">
        <f t="shared" si="27"/>
        <v>465.65217391304373</v>
      </c>
      <c r="AF56" s="440">
        <f t="shared" si="27"/>
        <v>476.68478260869591</v>
      </c>
      <c r="AG56" s="440">
        <f t="shared" si="27"/>
        <v>487.7173913043481</v>
      </c>
      <c r="AH56" s="440">
        <f t="shared" si="27"/>
        <v>498.75000000000028</v>
      </c>
      <c r="AI56" s="440">
        <f t="shared" si="27"/>
        <v>509.78260869565247</v>
      </c>
      <c r="AJ56" s="440">
        <f t="shared" si="27"/>
        <v>520.8152173913046</v>
      </c>
      <c r="AK56" s="440">
        <f t="shared" si="27"/>
        <v>531.84782608695673</v>
      </c>
      <c r="AL56" s="440">
        <f t="shared" si="27"/>
        <v>542.88043478260886</v>
      </c>
      <c r="AM56" s="440">
        <f t="shared" si="27"/>
        <v>553.91304347826099</v>
      </c>
      <c r="AN56" s="440">
        <f t="shared" si="27"/>
        <v>564.94565217391312</v>
      </c>
      <c r="AO56" s="440">
        <f t="shared" si="27"/>
        <v>575.97826086956525</v>
      </c>
      <c r="AP56" s="440">
        <f t="shared" si="27"/>
        <v>587.01086956521738</v>
      </c>
      <c r="AQ56" s="440">
        <f t="shared" si="27"/>
        <v>598.04347826086951</v>
      </c>
      <c r="AR56" s="440">
        <f t="shared" si="27"/>
        <v>609.07608695652164</v>
      </c>
    </row>
    <row r="57" spans="1:44" ht="15" x14ac:dyDescent="0.25">
      <c r="A57" s="2"/>
      <c r="B57" s="380" t="s">
        <v>326</v>
      </c>
      <c r="C57" s="52" t="s">
        <v>127</v>
      </c>
      <c r="D57" s="432">
        <f>Inputs!$E$32</f>
        <v>365</v>
      </c>
      <c r="E57" s="380"/>
      <c r="F57" s="440"/>
      <c r="G57" s="440"/>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40"/>
      <c r="AO57" s="440"/>
      <c r="AP57" s="440"/>
      <c r="AQ57" s="440"/>
      <c r="AR57" s="440"/>
    </row>
    <row r="58" spans="1:44" ht="15" x14ac:dyDescent="0.25">
      <c r="A58" s="2"/>
      <c r="B58" s="380" t="s">
        <v>339</v>
      </c>
      <c r="C58" s="52" t="s">
        <v>340</v>
      </c>
      <c r="D58" s="432">
        <f>SUM(F58:AR58)</f>
        <v>5299542.1195652205</v>
      </c>
      <c r="E58" s="380"/>
      <c r="F58" s="440">
        <f>F56*$D$30</f>
        <v>0</v>
      </c>
      <c r="G58" s="440">
        <f t="shared" ref="G58:AR58" si="28">G56*$D$30</f>
        <v>0</v>
      </c>
      <c r="H58" s="440">
        <f t="shared" si="28"/>
        <v>0</v>
      </c>
      <c r="I58" s="440">
        <f t="shared" si="28"/>
        <v>0</v>
      </c>
      <c r="J58" s="440">
        <f t="shared" si="28"/>
        <v>0</v>
      </c>
      <c r="K58" s="440">
        <f t="shared" si="28"/>
        <v>89425</v>
      </c>
      <c r="L58" s="440">
        <f t="shared" si="28"/>
        <v>93451.902173913055</v>
      </c>
      <c r="M58" s="440">
        <f t="shared" si="28"/>
        <v>97478.804347826095</v>
      </c>
      <c r="N58" s="440">
        <f t="shared" si="28"/>
        <v>101505.70652173915</v>
      </c>
      <c r="O58" s="440">
        <f t="shared" si="28"/>
        <v>105532.60869565219</v>
      </c>
      <c r="P58" s="440">
        <f t="shared" si="28"/>
        <v>109559.51086956525</v>
      </c>
      <c r="Q58" s="440">
        <f t="shared" si="28"/>
        <v>113586.41304347829</v>
      </c>
      <c r="R58" s="440">
        <f t="shared" si="28"/>
        <v>117613.31521739134</v>
      </c>
      <c r="S58" s="440">
        <f t="shared" si="28"/>
        <v>121640.21739130438</v>
      </c>
      <c r="T58" s="440">
        <f t="shared" si="28"/>
        <v>125667.11956521744</v>
      </c>
      <c r="U58" s="440">
        <f t="shared" si="28"/>
        <v>129694.02173913048</v>
      </c>
      <c r="V58" s="440">
        <f t="shared" si="28"/>
        <v>133720.92391304352</v>
      </c>
      <c r="W58" s="440">
        <f t="shared" si="28"/>
        <v>137747.82608695657</v>
      </c>
      <c r="X58" s="440">
        <f t="shared" si="28"/>
        <v>141774.72826086963</v>
      </c>
      <c r="Y58" s="440">
        <f t="shared" si="28"/>
        <v>145801.63043478268</v>
      </c>
      <c r="Z58" s="440">
        <f t="shared" si="28"/>
        <v>149828.53260869571</v>
      </c>
      <c r="AA58" s="440">
        <f t="shared" si="28"/>
        <v>153855.43478260876</v>
      </c>
      <c r="AB58" s="440">
        <f t="shared" si="28"/>
        <v>157882.33695652182</v>
      </c>
      <c r="AC58" s="440">
        <f t="shared" si="28"/>
        <v>161909.23913043487</v>
      </c>
      <c r="AD58" s="440">
        <f t="shared" si="28"/>
        <v>165936.14130434793</v>
      </c>
      <c r="AE58" s="440">
        <f t="shared" si="28"/>
        <v>169963.04347826095</v>
      </c>
      <c r="AF58" s="440">
        <f t="shared" si="28"/>
        <v>173989.94565217401</v>
      </c>
      <c r="AG58" s="440">
        <f t="shared" si="28"/>
        <v>178016.84782608706</v>
      </c>
      <c r="AH58" s="440">
        <f t="shared" si="28"/>
        <v>182043.75000000012</v>
      </c>
      <c r="AI58" s="440">
        <f t="shared" si="28"/>
        <v>186070.65217391314</v>
      </c>
      <c r="AJ58" s="440">
        <f t="shared" si="28"/>
        <v>190097.55434782617</v>
      </c>
      <c r="AK58" s="440">
        <f t="shared" si="28"/>
        <v>194124.45652173919</v>
      </c>
      <c r="AL58" s="440">
        <f t="shared" si="28"/>
        <v>198151.35869565222</v>
      </c>
      <c r="AM58" s="440">
        <f t="shared" si="28"/>
        <v>202178.26086956527</v>
      </c>
      <c r="AN58" s="440">
        <f t="shared" si="28"/>
        <v>206205.1630434783</v>
      </c>
      <c r="AO58" s="440">
        <f t="shared" si="28"/>
        <v>210232.06521739133</v>
      </c>
      <c r="AP58" s="440">
        <f t="shared" si="28"/>
        <v>214258.96739130435</v>
      </c>
      <c r="AQ58" s="440">
        <f t="shared" si="28"/>
        <v>218285.86956521738</v>
      </c>
      <c r="AR58" s="440">
        <f t="shared" si="28"/>
        <v>222312.7717391304</v>
      </c>
    </row>
    <row r="59" spans="1:44" ht="15" x14ac:dyDescent="0.25">
      <c r="A59" s="2"/>
      <c r="B59" s="380"/>
      <c r="C59" s="52"/>
      <c r="D59" s="432"/>
      <c r="E59" s="380"/>
      <c r="F59" s="440"/>
      <c r="G59" s="440"/>
      <c r="H59" s="440"/>
      <c r="I59" s="440"/>
      <c r="J59" s="440"/>
      <c r="K59" s="440"/>
      <c r="L59" s="440"/>
      <c r="M59" s="440"/>
      <c r="N59" s="440"/>
      <c r="O59" s="440"/>
      <c r="P59" s="440"/>
      <c r="Q59" s="440"/>
      <c r="R59" s="440"/>
      <c r="S59" s="440"/>
      <c r="T59" s="440"/>
      <c r="U59" s="440"/>
      <c r="V59" s="440"/>
      <c r="W59" s="440"/>
      <c r="X59" s="440"/>
      <c r="Y59" s="440"/>
      <c r="Z59" s="440"/>
      <c r="AA59" s="440"/>
      <c r="AB59" s="440"/>
      <c r="AC59" s="440"/>
      <c r="AD59" s="440"/>
      <c r="AE59" s="440"/>
      <c r="AF59" s="440"/>
      <c r="AG59" s="440"/>
      <c r="AH59" s="440"/>
      <c r="AI59" s="440"/>
      <c r="AJ59" s="440"/>
      <c r="AK59" s="440"/>
      <c r="AL59" s="440"/>
      <c r="AM59" s="440"/>
      <c r="AN59" s="440"/>
      <c r="AO59" s="440"/>
      <c r="AP59" s="440"/>
      <c r="AQ59" s="440"/>
      <c r="AR59" s="440"/>
    </row>
    <row r="60" spans="1:44" ht="15" x14ac:dyDescent="0.25">
      <c r="A60" s="2"/>
      <c r="B60" s="2" t="s">
        <v>341</v>
      </c>
      <c r="C60" s="52"/>
      <c r="D60" s="445"/>
      <c r="E60" s="38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40"/>
      <c r="AO60" s="440"/>
      <c r="AP60" s="440"/>
      <c r="AQ60" s="440"/>
      <c r="AR60" s="440"/>
    </row>
    <row r="61" spans="1:44" ht="15" x14ac:dyDescent="0.25">
      <c r="A61" s="2"/>
      <c r="B61" s="380" t="str">
        <f>Inputs!C141</f>
        <v>Fuel Consumption Base Year - Build</v>
      </c>
      <c r="C61" s="52" t="s">
        <v>76</v>
      </c>
      <c r="D61" s="445">
        <f>Inputs!$E$47</f>
        <v>0.03</v>
      </c>
      <c r="E61" s="38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40"/>
      <c r="AO61" s="440"/>
      <c r="AP61" s="440"/>
      <c r="AQ61" s="440"/>
      <c r="AR61" s="440"/>
    </row>
    <row r="62" spans="1:44" ht="15" x14ac:dyDescent="0.25">
      <c r="A62" s="2"/>
      <c r="B62" s="380" t="s">
        <v>342</v>
      </c>
      <c r="C62" s="52" t="s">
        <v>340</v>
      </c>
      <c r="D62" s="432">
        <f>SUM(F62:AR62)</f>
        <v>5140555.8559782617</v>
      </c>
      <c r="E62" s="380"/>
      <c r="F62" s="440">
        <f t="shared" ref="F62:AG62" si="29">F58*(1-$D$61)</f>
        <v>0</v>
      </c>
      <c r="G62" s="440">
        <f t="shared" si="29"/>
        <v>0</v>
      </c>
      <c r="H62" s="440">
        <f t="shared" si="29"/>
        <v>0</v>
      </c>
      <c r="I62" s="440">
        <f t="shared" si="29"/>
        <v>0</v>
      </c>
      <c r="J62" s="440">
        <f t="shared" si="29"/>
        <v>0</v>
      </c>
      <c r="K62" s="440">
        <f t="shared" si="29"/>
        <v>86742.25</v>
      </c>
      <c r="L62" s="440">
        <f t="shared" si="29"/>
        <v>90648.345108695663</v>
      </c>
      <c r="M62" s="440">
        <f t="shared" si="29"/>
        <v>94554.440217391311</v>
      </c>
      <c r="N62" s="440">
        <f t="shared" si="29"/>
        <v>98460.535326086974</v>
      </c>
      <c r="O62" s="440">
        <f t="shared" si="29"/>
        <v>102366.63043478262</v>
      </c>
      <c r="P62" s="440">
        <f t="shared" si="29"/>
        <v>106272.72554347829</v>
      </c>
      <c r="Q62" s="440">
        <f t="shared" si="29"/>
        <v>110178.82065217393</v>
      </c>
      <c r="R62" s="440">
        <f t="shared" si="29"/>
        <v>114084.9157608696</v>
      </c>
      <c r="S62" s="440">
        <f t="shared" si="29"/>
        <v>117991.01086956525</v>
      </c>
      <c r="T62" s="440">
        <f t="shared" si="29"/>
        <v>121897.10597826091</v>
      </c>
      <c r="U62" s="440">
        <f t="shared" si="29"/>
        <v>125803.20108695656</v>
      </c>
      <c r="V62" s="440">
        <f t="shared" si="29"/>
        <v>129709.2961956522</v>
      </c>
      <c r="W62" s="440">
        <f t="shared" si="29"/>
        <v>133615.39130434787</v>
      </c>
      <c r="X62" s="440">
        <f t="shared" si="29"/>
        <v>137521.48641304355</v>
      </c>
      <c r="Y62" s="440">
        <f t="shared" si="29"/>
        <v>141427.58152173919</v>
      </c>
      <c r="Z62" s="440">
        <f t="shared" si="29"/>
        <v>145333.67663043484</v>
      </c>
      <c r="AA62" s="440">
        <f t="shared" si="29"/>
        <v>149239.77173913049</v>
      </c>
      <c r="AB62" s="440">
        <f t="shared" si="29"/>
        <v>153145.86684782617</v>
      </c>
      <c r="AC62" s="440">
        <f t="shared" si="29"/>
        <v>157051.96195652182</v>
      </c>
      <c r="AD62" s="440">
        <f t="shared" si="29"/>
        <v>160958.05706521749</v>
      </c>
      <c r="AE62" s="440">
        <f t="shared" si="29"/>
        <v>164864.15217391311</v>
      </c>
      <c r="AF62" s="440">
        <f t="shared" si="29"/>
        <v>168770.24728260879</v>
      </c>
      <c r="AG62" s="440">
        <f t="shared" si="29"/>
        <v>172676.34239130444</v>
      </c>
      <c r="AH62" s="440">
        <f>AH58*(1-$D$61)</f>
        <v>176582.43750000012</v>
      </c>
      <c r="AI62" s="440">
        <f t="shared" ref="AI62:AR62" si="30">AI58*(1-$D$61)</f>
        <v>180488.53260869574</v>
      </c>
      <c r="AJ62" s="440">
        <f t="shared" si="30"/>
        <v>184394.62771739138</v>
      </c>
      <c r="AK62" s="440">
        <f t="shared" si="30"/>
        <v>188300.722826087</v>
      </c>
      <c r="AL62" s="440">
        <f t="shared" si="30"/>
        <v>192206.81793478265</v>
      </c>
      <c r="AM62" s="440">
        <f t="shared" si="30"/>
        <v>196112.9130434783</v>
      </c>
      <c r="AN62" s="440">
        <f t="shared" si="30"/>
        <v>200019.00815217395</v>
      </c>
      <c r="AO62" s="440">
        <f t="shared" si="30"/>
        <v>203925.10326086957</v>
      </c>
      <c r="AP62" s="440">
        <f t="shared" si="30"/>
        <v>207831.19836956522</v>
      </c>
      <c r="AQ62" s="440">
        <f t="shared" si="30"/>
        <v>211737.29347826086</v>
      </c>
      <c r="AR62" s="440">
        <f t="shared" si="30"/>
        <v>215643.38858695648</v>
      </c>
    </row>
    <row r="63" spans="1:44" ht="15" x14ac:dyDescent="0.25">
      <c r="A63" s="2"/>
      <c r="B63" s="380" t="s">
        <v>343</v>
      </c>
      <c r="C63" s="52" t="s">
        <v>340</v>
      </c>
      <c r="D63" s="432">
        <f>SUM(F63:AR63)</f>
        <v>158986.26358695651</v>
      </c>
      <c r="E63" s="380"/>
      <c r="F63" s="440">
        <f t="shared" ref="F63:J63" si="31">F58*$D$61</f>
        <v>0</v>
      </c>
      <c r="G63" s="440">
        <f t="shared" si="31"/>
        <v>0</v>
      </c>
      <c r="H63" s="440">
        <f t="shared" si="31"/>
        <v>0</v>
      </c>
      <c r="I63" s="440">
        <f t="shared" si="31"/>
        <v>0</v>
      </c>
      <c r="J63" s="440">
        <f t="shared" si="31"/>
        <v>0</v>
      </c>
      <c r="K63" s="440">
        <f>K58*$D$61</f>
        <v>2682.75</v>
      </c>
      <c r="L63" s="440">
        <f t="shared" ref="L63:AR63" si="32">L58*$D$61</f>
        <v>2803.5570652173915</v>
      </c>
      <c r="M63" s="440">
        <f t="shared" si="32"/>
        <v>2924.364130434783</v>
      </c>
      <c r="N63" s="440">
        <f t="shared" si="32"/>
        <v>3045.1711956521744</v>
      </c>
      <c r="O63" s="440">
        <f t="shared" si="32"/>
        <v>3165.9782608695655</v>
      </c>
      <c r="P63" s="440">
        <f t="shared" si="32"/>
        <v>3286.7853260869574</v>
      </c>
      <c r="Q63" s="440">
        <f t="shared" si="32"/>
        <v>3407.5923913043484</v>
      </c>
      <c r="R63" s="440">
        <f t="shared" si="32"/>
        <v>3528.3994565217399</v>
      </c>
      <c r="S63" s="440">
        <f t="shared" si="32"/>
        <v>3649.2065217391314</v>
      </c>
      <c r="T63" s="440">
        <f t="shared" si="32"/>
        <v>3770.0135869565229</v>
      </c>
      <c r="U63" s="440">
        <f t="shared" si="32"/>
        <v>3890.8206521739139</v>
      </c>
      <c r="V63" s="440">
        <f t="shared" si="32"/>
        <v>4011.6277173913054</v>
      </c>
      <c r="W63" s="440">
        <f t="shared" si="32"/>
        <v>4132.4347826086969</v>
      </c>
      <c r="X63" s="440">
        <f t="shared" si="32"/>
        <v>4253.2418478260888</v>
      </c>
      <c r="Y63" s="440">
        <f t="shared" si="32"/>
        <v>4374.0489130434798</v>
      </c>
      <c r="Z63" s="440">
        <f t="shared" si="32"/>
        <v>4494.8559782608709</v>
      </c>
      <c r="AA63" s="440">
        <f t="shared" si="32"/>
        <v>4615.6630434782628</v>
      </c>
      <c r="AB63" s="440">
        <f t="shared" si="32"/>
        <v>4736.4701086956547</v>
      </c>
      <c r="AC63" s="440">
        <f t="shared" si="32"/>
        <v>4857.2771739130458</v>
      </c>
      <c r="AD63" s="440">
        <f t="shared" si="32"/>
        <v>4978.0842391304377</v>
      </c>
      <c r="AE63" s="440">
        <f t="shared" si="32"/>
        <v>5098.8913043478287</v>
      </c>
      <c r="AF63" s="440">
        <f t="shared" si="32"/>
        <v>5219.6983695652198</v>
      </c>
      <c r="AG63" s="440">
        <f t="shared" si="32"/>
        <v>5340.5054347826117</v>
      </c>
      <c r="AH63" s="440">
        <f t="shared" si="32"/>
        <v>5461.3125000000036</v>
      </c>
      <c r="AI63" s="440">
        <f t="shared" si="32"/>
        <v>5582.1195652173938</v>
      </c>
      <c r="AJ63" s="440">
        <f t="shared" si="32"/>
        <v>5702.9266304347848</v>
      </c>
      <c r="AK63" s="440">
        <f t="shared" si="32"/>
        <v>5823.7336956521758</v>
      </c>
      <c r="AL63" s="440">
        <f t="shared" si="32"/>
        <v>5944.5407608695659</v>
      </c>
      <c r="AM63" s="440">
        <f t="shared" si="32"/>
        <v>6065.3478260869579</v>
      </c>
      <c r="AN63" s="440">
        <f t="shared" si="32"/>
        <v>6186.1548913043489</v>
      </c>
      <c r="AO63" s="440">
        <f t="shared" si="32"/>
        <v>6306.9619565217399</v>
      </c>
      <c r="AP63" s="440">
        <f t="shared" si="32"/>
        <v>6427.76902173913</v>
      </c>
      <c r="AQ63" s="440">
        <f t="shared" si="32"/>
        <v>6548.5760869565211</v>
      </c>
      <c r="AR63" s="440">
        <f t="shared" si="32"/>
        <v>6669.3831521739121</v>
      </c>
    </row>
    <row r="64" spans="1:44" ht="15" x14ac:dyDescent="0.25">
      <c r="A64" s="2"/>
      <c r="B64" s="380"/>
      <c r="C64" s="52"/>
      <c r="D64" s="432"/>
      <c r="E64" s="380"/>
      <c r="F64" s="432"/>
      <c r="G64" s="432"/>
      <c r="H64" s="432"/>
      <c r="I64" s="432"/>
      <c r="J64" s="432"/>
      <c r="K64" s="43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row>
    <row r="65" spans="1:44" ht="15" x14ac:dyDescent="0.25">
      <c r="A65" s="380"/>
      <c r="B65" s="2" t="s">
        <v>344</v>
      </c>
      <c r="C65" s="52"/>
      <c r="D65" s="432"/>
      <c r="E65" s="380"/>
      <c r="F65" s="417"/>
      <c r="G65" s="417"/>
      <c r="H65" s="417"/>
      <c r="I65" s="417"/>
      <c r="J65" s="417"/>
      <c r="K65" s="417"/>
      <c r="L65" s="417"/>
      <c r="M65" s="417"/>
      <c r="N65" s="417"/>
      <c r="O65" s="417"/>
      <c r="P65" s="417"/>
      <c r="Q65" s="417"/>
      <c r="R65" s="417"/>
      <c r="S65" s="417"/>
      <c r="T65" s="417"/>
      <c r="U65" s="417"/>
      <c r="V65" s="417"/>
      <c r="W65" s="417"/>
      <c r="X65" s="417"/>
      <c r="Y65" s="417"/>
      <c r="Z65" s="417"/>
      <c r="AA65" s="417"/>
      <c r="AB65" s="417"/>
      <c r="AC65" s="417"/>
      <c r="AD65" s="417"/>
      <c r="AE65" s="417"/>
      <c r="AF65" s="417"/>
      <c r="AG65" s="417"/>
      <c r="AH65" s="417"/>
      <c r="AI65" s="417"/>
      <c r="AJ65" s="417"/>
      <c r="AK65" s="417"/>
      <c r="AL65" s="417"/>
      <c r="AM65" s="417"/>
      <c r="AN65" s="417"/>
      <c r="AO65" s="417"/>
      <c r="AP65" s="417"/>
      <c r="AQ65" s="417"/>
      <c r="AR65" s="417"/>
    </row>
    <row r="66" spans="1:44" x14ac:dyDescent="0.2">
      <c r="A66" s="380"/>
      <c r="B66" s="380" t="s">
        <v>345</v>
      </c>
      <c r="C66" s="52" t="s">
        <v>346</v>
      </c>
      <c r="D66" s="460"/>
      <c r="E66" s="380"/>
      <c r="F66" s="459">
        <f>IFERROR(HLOOKUP(F$7,'REF Fuel Prices'!#REF!,13),0)</f>
        <v>0</v>
      </c>
      <c r="G66" s="459">
        <f>IFERROR(HLOOKUP(G$7,'REF Fuel Prices'!#REF!,13),0)</f>
        <v>0</v>
      </c>
      <c r="H66" s="459">
        <f>IFERROR(HLOOKUP(H$7,'REF Fuel Prices'!#REF!,13),0)</f>
        <v>0</v>
      </c>
      <c r="I66" s="459">
        <f>IFERROR(HLOOKUP(I$7,'REF Fuel Prices'!#REF!,13),0)</f>
        <v>0</v>
      </c>
      <c r="J66" s="459">
        <f>IFERROR(HLOOKUP(J$7,'REF Fuel Prices'!#REF!,13),0)</f>
        <v>0</v>
      </c>
      <c r="K66" s="459">
        <f>IFERROR(HLOOKUP(K$7,'REF Fuel Prices'!#REF!,13),0)</f>
        <v>0</v>
      </c>
      <c r="L66" s="459">
        <f>IFERROR(HLOOKUP(L$7,'REF Fuel Prices'!#REF!,13),0)</f>
        <v>0</v>
      </c>
      <c r="M66" s="459">
        <f>IFERROR(HLOOKUP(M$7,'REF Fuel Prices'!#REF!,13),0)</f>
        <v>0</v>
      </c>
      <c r="N66" s="459">
        <f>IFERROR(HLOOKUP(N$7,'REF Fuel Prices'!#REF!,13),0)</f>
        <v>0</v>
      </c>
      <c r="O66" s="459">
        <f>IFERROR(HLOOKUP(O$7,'REF Fuel Prices'!#REF!,13),0)</f>
        <v>0</v>
      </c>
      <c r="P66" s="459">
        <f>IFERROR(HLOOKUP(P$7,'REF Fuel Prices'!#REF!,13),0)</f>
        <v>0</v>
      </c>
      <c r="Q66" s="459">
        <f>IFERROR(HLOOKUP(Q$7,'REF Fuel Prices'!#REF!,13),0)</f>
        <v>0</v>
      </c>
      <c r="R66" s="459">
        <f>IFERROR(HLOOKUP(R$7,'REF Fuel Prices'!#REF!,13),0)</f>
        <v>0</v>
      </c>
      <c r="S66" s="459">
        <f>IFERROR(HLOOKUP(S$7,'REF Fuel Prices'!#REF!,13),0)</f>
        <v>0</v>
      </c>
      <c r="T66" s="459">
        <f>IFERROR(HLOOKUP(T$7,'REF Fuel Prices'!#REF!,13),0)</f>
        <v>0</v>
      </c>
      <c r="U66" s="459">
        <f>IFERROR(HLOOKUP(U$7,'REF Fuel Prices'!#REF!,13),0)</f>
        <v>0</v>
      </c>
      <c r="V66" s="459">
        <f>IFERROR(HLOOKUP(V$7,'REF Fuel Prices'!#REF!,13),0)</f>
        <v>0</v>
      </c>
      <c r="W66" s="459">
        <f>IFERROR(HLOOKUP(W$7,'REF Fuel Prices'!#REF!,13),0)</f>
        <v>0</v>
      </c>
      <c r="X66" s="459">
        <f>IFERROR(HLOOKUP(X$7,'REF Fuel Prices'!#REF!,13),0)</f>
        <v>0</v>
      </c>
      <c r="Y66" s="459">
        <f>IFERROR(HLOOKUP(Y$7,'REF Fuel Prices'!#REF!,13),0)</f>
        <v>0</v>
      </c>
      <c r="Z66" s="459">
        <f>IFERROR(HLOOKUP(Z$7,'REF Fuel Prices'!#REF!,13),0)</f>
        <v>0</v>
      </c>
      <c r="AA66" s="459">
        <f>IFERROR(HLOOKUP(AA$7,'REF Fuel Prices'!#REF!,13),0)</f>
        <v>0</v>
      </c>
      <c r="AB66" s="459">
        <f>IFERROR(HLOOKUP(AB$7,'REF Fuel Prices'!#REF!,13),0)</f>
        <v>0</v>
      </c>
      <c r="AC66" s="459">
        <f>IFERROR(HLOOKUP(AC$7,'REF Fuel Prices'!#REF!,13),0)</f>
        <v>0</v>
      </c>
      <c r="AD66" s="459">
        <f>IFERROR(HLOOKUP(AD$7,'REF Fuel Prices'!#REF!,13),0)</f>
        <v>0</v>
      </c>
      <c r="AE66" s="459">
        <f>IFERROR(HLOOKUP(AE$7,'REF Fuel Prices'!#REF!,13),0)</f>
        <v>0</v>
      </c>
      <c r="AF66" s="459">
        <f>IFERROR(HLOOKUP(AF$7,'REF Fuel Prices'!#REF!,13),0)</f>
        <v>0</v>
      </c>
      <c r="AG66" s="459">
        <f>IFERROR(HLOOKUP(AG$7,'REF Fuel Prices'!#REF!,13),0)</f>
        <v>0</v>
      </c>
      <c r="AH66" s="459">
        <f>IFERROR(HLOOKUP(AH$7,'REF Fuel Prices'!#REF!,13),0)</f>
        <v>0</v>
      </c>
      <c r="AI66" s="459">
        <f>IFERROR(HLOOKUP(AI$7,'REF Fuel Prices'!#REF!,13),0)</f>
        <v>0</v>
      </c>
      <c r="AJ66" s="459">
        <f>IFERROR(HLOOKUP(AJ$7,'REF Fuel Prices'!#REF!,13),0)</f>
        <v>0</v>
      </c>
      <c r="AK66" s="459">
        <f>IFERROR(HLOOKUP(AK$7,'REF Fuel Prices'!#REF!,13),0)</f>
        <v>0</v>
      </c>
      <c r="AL66" s="459">
        <f>IFERROR(HLOOKUP(AL$7,'REF Fuel Prices'!#REF!,13),0)</f>
        <v>0</v>
      </c>
      <c r="AM66" s="459">
        <f>IFERROR(HLOOKUP(AM$7,'REF Fuel Prices'!#REF!,13),0)</f>
        <v>0</v>
      </c>
      <c r="AN66" s="459">
        <f>IFERROR(HLOOKUP(AN$7,'REF Fuel Prices'!#REF!,13),0)</f>
        <v>0</v>
      </c>
      <c r="AO66" s="459">
        <f>IFERROR(HLOOKUP(AO$7,'REF Fuel Prices'!#REF!,13),0)</f>
        <v>0</v>
      </c>
      <c r="AP66" s="459">
        <f>IFERROR(HLOOKUP(AP$7,'REF Fuel Prices'!#REF!,13),0)</f>
        <v>0</v>
      </c>
      <c r="AQ66" s="459">
        <f>IFERROR(HLOOKUP(AQ$7,'REF Fuel Prices'!#REF!,13),0)</f>
        <v>0</v>
      </c>
      <c r="AR66" s="459">
        <f>IFERROR(HLOOKUP(AR$7,'REF Fuel Prices'!#REF!,13),0)</f>
        <v>0</v>
      </c>
    </row>
    <row r="67" spans="1:44" x14ac:dyDescent="0.2">
      <c r="A67" s="380"/>
      <c r="B67" s="380" t="s">
        <v>347</v>
      </c>
      <c r="C67" s="52" t="s">
        <v>346</v>
      </c>
      <c r="D67" s="460"/>
      <c r="E67" s="380"/>
      <c r="F67" s="459">
        <f>IFERROR(HLOOKUP(F$7,'REF Fuel Prices'!#REF!,14),0)</f>
        <v>0</v>
      </c>
      <c r="G67" s="459">
        <f>IFERROR(HLOOKUP(G$7,'REF Fuel Prices'!#REF!,14),0)</f>
        <v>0</v>
      </c>
      <c r="H67" s="459">
        <f>IFERROR(HLOOKUP(H$7,'REF Fuel Prices'!#REF!,14),0)</f>
        <v>0</v>
      </c>
      <c r="I67" s="459">
        <f>IFERROR(HLOOKUP(I$7,'REF Fuel Prices'!#REF!,14),0)</f>
        <v>0</v>
      </c>
      <c r="J67" s="459">
        <f>IFERROR(HLOOKUP(J$7,'REF Fuel Prices'!#REF!,14),0)</f>
        <v>0</v>
      </c>
      <c r="K67" s="459">
        <f>IFERROR(HLOOKUP(K$7,'REF Fuel Prices'!#REF!,14),0)</f>
        <v>0</v>
      </c>
      <c r="L67" s="459">
        <f>IFERROR(HLOOKUP(L$7,'REF Fuel Prices'!#REF!,14),0)</f>
        <v>0</v>
      </c>
      <c r="M67" s="459">
        <f>IFERROR(HLOOKUP(M$7,'REF Fuel Prices'!#REF!,14),0)</f>
        <v>0</v>
      </c>
      <c r="N67" s="459">
        <f>IFERROR(HLOOKUP(N$7,'REF Fuel Prices'!#REF!,14),0)</f>
        <v>0</v>
      </c>
      <c r="O67" s="459">
        <f>IFERROR(HLOOKUP(O$7,'REF Fuel Prices'!#REF!,14),0)</f>
        <v>0</v>
      </c>
      <c r="P67" s="459">
        <f>IFERROR(HLOOKUP(P$7,'REF Fuel Prices'!#REF!,14),0)</f>
        <v>0</v>
      </c>
      <c r="Q67" s="459">
        <f>IFERROR(HLOOKUP(Q$7,'REF Fuel Prices'!#REF!,14),0)</f>
        <v>0</v>
      </c>
      <c r="R67" s="459">
        <f>IFERROR(HLOOKUP(R$7,'REF Fuel Prices'!#REF!,14),0)</f>
        <v>0</v>
      </c>
      <c r="S67" s="459">
        <f>IFERROR(HLOOKUP(S$7,'REF Fuel Prices'!#REF!,14),0)</f>
        <v>0</v>
      </c>
      <c r="T67" s="459">
        <f>IFERROR(HLOOKUP(T$7,'REF Fuel Prices'!#REF!,14),0)</f>
        <v>0</v>
      </c>
      <c r="U67" s="459">
        <f>IFERROR(HLOOKUP(U$7,'REF Fuel Prices'!#REF!,14),0)</f>
        <v>0</v>
      </c>
      <c r="V67" s="459">
        <f>IFERROR(HLOOKUP(V$7,'REF Fuel Prices'!#REF!,14),0)</f>
        <v>0</v>
      </c>
      <c r="W67" s="459">
        <f>IFERROR(HLOOKUP(W$7,'REF Fuel Prices'!#REF!,14),0)</f>
        <v>0</v>
      </c>
      <c r="X67" s="459">
        <f>IFERROR(HLOOKUP(X$7,'REF Fuel Prices'!#REF!,14),0)</f>
        <v>0</v>
      </c>
      <c r="Y67" s="459">
        <f>IFERROR(HLOOKUP(Y$7,'REF Fuel Prices'!#REF!,14),0)</f>
        <v>0</v>
      </c>
      <c r="Z67" s="459">
        <f>IFERROR(HLOOKUP(Z$7,'REF Fuel Prices'!#REF!,14),0)</f>
        <v>0</v>
      </c>
      <c r="AA67" s="459">
        <f>IFERROR(HLOOKUP(AA$7,'REF Fuel Prices'!#REF!,14),0)</f>
        <v>0</v>
      </c>
      <c r="AB67" s="459">
        <f>IFERROR(HLOOKUP(AB$7,'REF Fuel Prices'!#REF!,14),0)</f>
        <v>0</v>
      </c>
      <c r="AC67" s="459">
        <f>IFERROR(HLOOKUP(AC$7,'REF Fuel Prices'!#REF!,14),0)</f>
        <v>0</v>
      </c>
      <c r="AD67" s="459">
        <f>IFERROR(HLOOKUP(AD$7,'REF Fuel Prices'!#REF!,14),0)</f>
        <v>0</v>
      </c>
      <c r="AE67" s="459">
        <f>IFERROR(HLOOKUP(AE$7,'REF Fuel Prices'!#REF!,14),0)</f>
        <v>0</v>
      </c>
      <c r="AF67" s="459">
        <f>IFERROR(HLOOKUP(AF$7,'REF Fuel Prices'!#REF!,14),0)</f>
        <v>0</v>
      </c>
      <c r="AG67" s="459">
        <f>IFERROR(HLOOKUP(AG$7,'REF Fuel Prices'!#REF!,14),0)</f>
        <v>0</v>
      </c>
      <c r="AH67" s="459">
        <f>IFERROR(HLOOKUP(AH$7,'REF Fuel Prices'!#REF!,14),0)</f>
        <v>0</v>
      </c>
      <c r="AI67" s="459">
        <f>IFERROR(HLOOKUP(AI$7,'REF Fuel Prices'!#REF!,14),0)</f>
        <v>0</v>
      </c>
      <c r="AJ67" s="459">
        <f>IFERROR(HLOOKUP(AJ$7,'REF Fuel Prices'!#REF!,14),0)</f>
        <v>0</v>
      </c>
      <c r="AK67" s="459">
        <f>IFERROR(HLOOKUP(AK$7,'REF Fuel Prices'!#REF!,14),0)</f>
        <v>0</v>
      </c>
      <c r="AL67" s="459">
        <f>IFERROR(HLOOKUP(AL$7,'REF Fuel Prices'!#REF!,14),0)</f>
        <v>0</v>
      </c>
      <c r="AM67" s="459">
        <f>IFERROR(HLOOKUP(AM$7,'REF Fuel Prices'!#REF!,14),0)</f>
        <v>0</v>
      </c>
      <c r="AN67" s="459">
        <f>IFERROR(HLOOKUP(AN$7,'REF Fuel Prices'!#REF!,14),0)</f>
        <v>0</v>
      </c>
      <c r="AO67" s="459">
        <f>IFERROR(HLOOKUP(AO$7,'REF Fuel Prices'!#REF!,14),0)</f>
        <v>0</v>
      </c>
      <c r="AP67" s="459">
        <f>IFERROR(HLOOKUP(AP$7,'REF Fuel Prices'!#REF!,14),0)</f>
        <v>0</v>
      </c>
      <c r="AQ67" s="459">
        <f>IFERROR(HLOOKUP(AQ$7,'REF Fuel Prices'!#REF!,14),0)</f>
        <v>0</v>
      </c>
      <c r="AR67" s="459">
        <f>IFERROR(HLOOKUP(AR$7,'REF Fuel Prices'!#REF!,14),0)</f>
        <v>0</v>
      </c>
    </row>
    <row r="68" spans="1:44" ht="15" x14ac:dyDescent="0.25">
      <c r="A68" s="2"/>
      <c r="B68" s="380" t="s">
        <v>348</v>
      </c>
      <c r="C68" s="11" t="s">
        <v>331</v>
      </c>
      <c r="D68" s="417">
        <f>SUM(F68:AR68)</f>
        <v>0</v>
      </c>
      <c r="E68" s="380"/>
      <c r="F68" s="417">
        <f t="shared" ref="F68:J68" si="33">F62*F66</f>
        <v>0</v>
      </c>
      <c r="G68" s="417">
        <f t="shared" si="33"/>
        <v>0</v>
      </c>
      <c r="H68" s="417">
        <f t="shared" si="33"/>
        <v>0</v>
      </c>
      <c r="I68" s="417">
        <f t="shared" si="33"/>
        <v>0</v>
      </c>
      <c r="J68" s="417">
        <f t="shared" si="33"/>
        <v>0</v>
      </c>
      <c r="K68" s="417">
        <f>K62*K66</f>
        <v>0</v>
      </c>
      <c r="L68" s="417">
        <f t="shared" ref="L68:AR68" si="34">L62*L66</f>
        <v>0</v>
      </c>
      <c r="M68" s="417">
        <f t="shared" si="34"/>
        <v>0</v>
      </c>
      <c r="N68" s="417">
        <f t="shared" si="34"/>
        <v>0</v>
      </c>
      <c r="O68" s="417">
        <f t="shared" si="34"/>
        <v>0</v>
      </c>
      <c r="P68" s="417">
        <f t="shared" si="34"/>
        <v>0</v>
      </c>
      <c r="Q68" s="417">
        <f t="shared" si="34"/>
        <v>0</v>
      </c>
      <c r="R68" s="417">
        <f t="shared" si="34"/>
        <v>0</v>
      </c>
      <c r="S68" s="417">
        <f t="shared" si="34"/>
        <v>0</v>
      </c>
      <c r="T68" s="417">
        <f t="shared" si="34"/>
        <v>0</v>
      </c>
      <c r="U68" s="417">
        <f t="shared" si="34"/>
        <v>0</v>
      </c>
      <c r="V68" s="417">
        <f t="shared" si="34"/>
        <v>0</v>
      </c>
      <c r="W68" s="417">
        <f t="shared" si="34"/>
        <v>0</v>
      </c>
      <c r="X68" s="417">
        <f t="shared" si="34"/>
        <v>0</v>
      </c>
      <c r="Y68" s="417">
        <f t="shared" si="34"/>
        <v>0</v>
      </c>
      <c r="Z68" s="417">
        <f t="shared" si="34"/>
        <v>0</v>
      </c>
      <c r="AA68" s="417">
        <f t="shared" si="34"/>
        <v>0</v>
      </c>
      <c r="AB68" s="417">
        <f t="shared" si="34"/>
        <v>0</v>
      </c>
      <c r="AC68" s="417">
        <f t="shared" si="34"/>
        <v>0</v>
      </c>
      <c r="AD68" s="417">
        <f t="shared" si="34"/>
        <v>0</v>
      </c>
      <c r="AE68" s="417">
        <f t="shared" si="34"/>
        <v>0</v>
      </c>
      <c r="AF68" s="417">
        <f t="shared" si="34"/>
        <v>0</v>
      </c>
      <c r="AG68" s="417">
        <f t="shared" si="34"/>
        <v>0</v>
      </c>
      <c r="AH68" s="417">
        <f t="shared" si="34"/>
        <v>0</v>
      </c>
      <c r="AI68" s="417">
        <f t="shared" si="34"/>
        <v>0</v>
      </c>
      <c r="AJ68" s="417">
        <f t="shared" si="34"/>
        <v>0</v>
      </c>
      <c r="AK68" s="417">
        <f t="shared" si="34"/>
        <v>0</v>
      </c>
      <c r="AL68" s="417">
        <f t="shared" si="34"/>
        <v>0</v>
      </c>
      <c r="AM68" s="417">
        <f t="shared" si="34"/>
        <v>0</v>
      </c>
      <c r="AN68" s="417">
        <f t="shared" si="34"/>
        <v>0</v>
      </c>
      <c r="AO68" s="417">
        <f t="shared" si="34"/>
        <v>0</v>
      </c>
      <c r="AP68" s="417">
        <f t="shared" si="34"/>
        <v>0</v>
      </c>
      <c r="AQ68" s="417">
        <f t="shared" si="34"/>
        <v>0</v>
      </c>
      <c r="AR68" s="417">
        <f t="shared" si="34"/>
        <v>0</v>
      </c>
    </row>
    <row r="69" spans="1:44" x14ac:dyDescent="0.2">
      <c r="A69" s="380"/>
      <c r="B69" s="380" t="s">
        <v>349</v>
      </c>
      <c r="C69" s="11" t="s">
        <v>331</v>
      </c>
      <c r="D69" s="417">
        <f>SUM(F69:AR69)</f>
        <v>0</v>
      </c>
      <c r="E69" s="380"/>
      <c r="F69" s="417">
        <f t="shared" ref="F69:J69" si="35">F63*F67</f>
        <v>0</v>
      </c>
      <c r="G69" s="417">
        <f t="shared" si="35"/>
        <v>0</v>
      </c>
      <c r="H69" s="417">
        <f t="shared" si="35"/>
        <v>0</v>
      </c>
      <c r="I69" s="417">
        <f t="shared" si="35"/>
        <v>0</v>
      </c>
      <c r="J69" s="417">
        <f t="shared" si="35"/>
        <v>0</v>
      </c>
      <c r="K69" s="417">
        <f>K63*K67</f>
        <v>0</v>
      </c>
      <c r="L69" s="417">
        <f t="shared" ref="L69:AR69" si="36">L63*L67</f>
        <v>0</v>
      </c>
      <c r="M69" s="417">
        <f t="shared" si="36"/>
        <v>0</v>
      </c>
      <c r="N69" s="417">
        <f t="shared" si="36"/>
        <v>0</v>
      </c>
      <c r="O69" s="417">
        <f t="shared" si="36"/>
        <v>0</v>
      </c>
      <c r="P69" s="417">
        <f t="shared" si="36"/>
        <v>0</v>
      </c>
      <c r="Q69" s="417">
        <f t="shared" si="36"/>
        <v>0</v>
      </c>
      <c r="R69" s="417">
        <f t="shared" si="36"/>
        <v>0</v>
      </c>
      <c r="S69" s="417">
        <f t="shared" si="36"/>
        <v>0</v>
      </c>
      <c r="T69" s="417">
        <f t="shared" si="36"/>
        <v>0</v>
      </c>
      <c r="U69" s="417">
        <f t="shared" si="36"/>
        <v>0</v>
      </c>
      <c r="V69" s="417">
        <f t="shared" si="36"/>
        <v>0</v>
      </c>
      <c r="W69" s="417">
        <f t="shared" si="36"/>
        <v>0</v>
      </c>
      <c r="X69" s="417">
        <f t="shared" si="36"/>
        <v>0</v>
      </c>
      <c r="Y69" s="417">
        <f t="shared" si="36"/>
        <v>0</v>
      </c>
      <c r="Z69" s="417">
        <f t="shared" si="36"/>
        <v>0</v>
      </c>
      <c r="AA69" s="417">
        <f t="shared" si="36"/>
        <v>0</v>
      </c>
      <c r="AB69" s="417">
        <f t="shared" si="36"/>
        <v>0</v>
      </c>
      <c r="AC69" s="417">
        <f t="shared" si="36"/>
        <v>0</v>
      </c>
      <c r="AD69" s="417">
        <f t="shared" si="36"/>
        <v>0</v>
      </c>
      <c r="AE69" s="417">
        <f t="shared" si="36"/>
        <v>0</v>
      </c>
      <c r="AF69" s="417">
        <f t="shared" si="36"/>
        <v>0</v>
      </c>
      <c r="AG69" s="417">
        <f t="shared" si="36"/>
        <v>0</v>
      </c>
      <c r="AH69" s="417">
        <f t="shared" si="36"/>
        <v>0</v>
      </c>
      <c r="AI69" s="417">
        <f t="shared" si="36"/>
        <v>0</v>
      </c>
      <c r="AJ69" s="417">
        <f t="shared" si="36"/>
        <v>0</v>
      </c>
      <c r="AK69" s="417">
        <f t="shared" si="36"/>
        <v>0</v>
      </c>
      <c r="AL69" s="417">
        <f t="shared" si="36"/>
        <v>0</v>
      </c>
      <c r="AM69" s="417">
        <f t="shared" si="36"/>
        <v>0</v>
      </c>
      <c r="AN69" s="417">
        <f t="shared" si="36"/>
        <v>0</v>
      </c>
      <c r="AO69" s="417">
        <f t="shared" si="36"/>
        <v>0</v>
      </c>
      <c r="AP69" s="417">
        <f t="shared" si="36"/>
        <v>0</v>
      </c>
      <c r="AQ69" s="417">
        <f t="shared" si="36"/>
        <v>0</v>
      </c>
      <c r="AR69" s="417">
        <f t="shared" si="36"/>
        <v>0</v>
      </c>
    </row>
    <row r="70" spans="1:44" x14ac:dyDescent="0.2">
      <c r="A70" s="380"/>
      <c r="B70" s="380"/>
      <c r="C70" s="11"/>
      <c r="D70" s="440"/>
      <c r="E70" s="380"/>
      <c r="F70" s="417"/>
      <c r="G70" s="417"/>
      <c r="H70" s="417"/>
      <c r="I70" s="417"/>
      <c r="J70" s="417"/>
      <c r="K70" s="417"/>
      <c r="L70" s="417"/>
      <c r="M70" s="417"/>
      <c r="N70" s="417"/>
      <c r="O70" s="417"/>
      <c r="P70" s="417"/>
      <c r="Q70" s="417"/>
      <c r="R70" s="417"/>
      <c r="S70" s="417"/>
      <c r="T70" s="417"/>
      <c r="U70" s="417"/>
      <c r="V70" s="417"/>
      <c r="W70" s="417"/>
      <c r="X70" s="417"/>
      <c r="Y70" s="417"/>
      <c r="Z70" s="417"/>
      <c r="AA70" s="417"/>
      <c r="AB70" s="417"/>
      <c r="AC70" s="417"/>
      <c r="AD70" s="417"/>
      <c r="AE70" s="417"/>
      <c r="AF70" s="417"/>
      <c r="AG70" s="417"/>
      <c r="AH70" s="417"/>
      <c r="AI70" s="417"/>
      <c r="AJ70" s="417"/>
      <c r="AK70" s="417"/>
      <c r="AL70" s="417"/>
      <c r="AM70" s="417"/>
      <c r="AN70" s="417"/>
      <c r="AO70" s="417"/>
      <c r="AP70" s="417"/>
      <c r="AQ70" s="417"/>
      <c r="AR70" s="417"/>
    </row>
    <row r="71" spans="1:44" ht="15" x14ac:dyDescent="0.25">
      <c r="A71" s="2" t="s">
        <v>319</v>
      </c>
      <c r="B71" s="380"/>
      <c r="C71" s="52"/>
      <c r="D71" s="440"/>
      <c r="E71" s="380"/>
      <c r="F71" s="417"/>
      <c r="G71" s="417"/>
      <c r="H71" s="417"/>
      <c r="I71" s="417"/>
      <c r="J71" s="417"/>
      <c r="K71" s="417"/>
      <c r="L71" s="417"/>
      <c r="M71" s="417"/>
      <c r="N71" s="417"/>
      <c r="O71" s="417"/>
      <c r="P71" s="417"/>
      <c r="Q71" s="417"/>
      <c r="R71" s="417"/>
      <c r="S71" s="417"/>
      <c r="T71" s="417"/>
      <c r="U71" s="417"/>
      <c r="V71" s="417"/>
      <c r="W71" s="417"/>
      <c r="X71" s="417"/>
      <c r="Y71" s="417"/>
      <c r="Z71" s="417"/>
      <c r="AA71" s="417"/>
      <c r="AB71" s="417"/>
      <c r="AC71" s="417"/>
      <c r="AD71" s="417"/>
      <c r="AE71" s="417"/>
      <c r="AF71" s="417"/>
      <c r="AG71" s="417"/>
      <c r="AH71" s="417"/>
      <c r="AI71" s="417"/>
      <c r="AJ71" s="417"/>
      <c r="AK71" s="417"/>
      <c r="AL71" s="417"/>
      <c r="AM71" s="417"/>
      <c r="AN71" s="417"/>
      <c r="AO71" s="417"/>
      <c r="AP71" s="417"/>
      <c r="AQ71" s="417"/>
      <c r="AR71" s="417"/>
    </row>
    <row r="72" spans="1:44" x14ac:dyDescent="0.2">
      <c r="A72" s="380"/>
      <c r="B72" s="380" t="s">
        <v>320</v>
      </c>
      <c r="C72" s="11" t="s">
        <v>310</v>
      </c>
      <c r="D72" s="440">
        <f>SUM(F72:AR72)</f>
        <v>0</v>
      </c>
      <c r="E72" s="380"/>
      <c r="F72" s="417">
        <f t="shared" ref="F72:J72" si="37">F68+F69</f>
        <v>0</v>
      </c>
      <c r="G72" s="417">
        <f t="shared" si="37"/>
        <v>0</v>
      </c>
      <c r="H72" s="417">
        <f t="shared" si="37"/>
        <v>0</v>
      </c>
      <c r="I72" s="417">
        <f t="shared" si="37"/>
        <v>0</v>
      </c>
      <c r="J72" s="417">
        <f t="shared" si="37"/>
        <v>0</v>
      </c>
      <c r="K72" s="417">
        <f>K68+K69</f>
        <v>0</v>
      </c>
      <c r="L72" s="417">
        <f t="shared" ref="L72:AR72" si="38">L68+L69</f>
        <v>0</v>
      </c>
      <c r="M72" s="417">
        <f t="shared" si="38"/>
        <v>0</v>
      </c>
      <c r="N72" s="417">
        <f t="shared" si="38"/>
        <v>0</v>
      </c>
      <c r="O72" s="417">
        <f t="shared" si="38"/>
        <v>0</v>
      </c>
      <c r="P72" s="417">
        <f t="shared" si="38"/>
        <v>0</v>
      </c>
      <c r="Q72" s="417">
        <f t="shared" si="38"/>
        <v>0</v>
      </c>
      <c r="R72" s="417">
        <f t="shared" si="38"/>
        <v>0</v>
      </c>
      <c r="S72" s="417">
        <f t="shared" si="38"/>
        <v>0</v>
      </c>
      <c r="T72" s="417">
        <f t="shared" si="38"/>
        <v>0</v>
      </c>
      <c r="U72" s="417">
        <f t="shared" si="38"/>
        <v>0</v>
      </c>
      <c r="V72" s="417">
        <f t="shared" si="38"/>
        <v>0</v>
      </c>
      <c r="W72" s="417">
        <f t="shared" si="38"/>
        <v>0</v>
      </c>
      <c r="X72" s="417">
        <f t="shared" si="38"/>
        <v>0</v>
      </c>
      <c r="Y72" s="417">
        <f t="shared" si="38"/>
        <v>0</v>
      </c>
      <c r="Z72" s="417">
        <f t="shared" si="38"/>
        <v>0</v>
      </c>
      <c r="AA72" s="417">
        <f t="shared" si="38"/>
        <v>0</v>
      </c>
      <c r="AB72" s="417">
        <f t="shared" si="38"/>
        <v>0</v>
      </c>
      <c r="AC72" s="417">
        <f t="shared" si="38"/>
        <v>0</v>
      </c>
      <c r="AD72" s="417">
        <f t="shared" si="38"/>
        <v>0</v>
      </c>
      <c r="AE72" s="417">
        <f t="shared" si="38"/>
        <v>0</v>
      </c>
      <c r="AF72" s="417">
        <f t="shared" si="38"/>
        <v>0</v>
      </c>
      <c r="AG72" s="417">
        <f t="shared" si="38"/>
        <v>0</v>
      </c>
      <c r="AH72" s="417">
        <f t="shared" si="38"/>
        <v>0</v>
      </c>
      <c r="AI72" s="417">
        <f t="shared" si="38"/>
        <v>0</v>
      </c>
      <c r="AJ72" s="417">
        <f t="shared" si="38"/>
        <v>0</v>
      </c>
      <c r="AK72" s="417">
        <f t="shared" si="38"/>
        <v>0</v>
      </c>
      <c r="AL72" s="417">
        <f t="shared" si="38"/>
        <v>0</v>
      </c>
      <c r="AM72" s="417">
        <f t="shared" si="38"/>
        <v>0</v>
      </c>
      <c r="AN72" s="417">
        <f t="shared" si="38"/>
        <v>0</v>
      </c>
      <c r="AO72" s="417">
        <f t="shared" si="38"/>
        <v>0</v>
      </c>
      <c r="AP72" s="417">
        <f t="shared" si="38"/>
        <v>0</v>
      </c>
      <c r="AQ72" s="417">
        <f t="shared" si="38"/>
        <v>0</v>
      </c>
      <c r="AR72" s="417">
        <f t="shared" si="38"/>
        <v>0</v>
      </c>
    </row>
    <row r="73" spans="1:44" x14ac:dyDescent="0.2">
      <c r="A73" s="380"/>
      <c r="B73" s="380"/>
      <c r="C73" s="7"/>
      <c r="D73" s="380"/>
      <c r="E73" s="380"/>
      <c r="F73" s="463"/>
      <c r="G73" s="463"/>
      <c r="H73" s="463"/>
      <c r="I73" s="463"/>
      <c r="J73" s="463"/>
      <c r="K73" s="463"/>
      <c r="L73" s="463"/>
      <c r="M73" s="463"/>
      <c r="N73" s="463"/>
      <c r="O73" s="463"/>
      <c r="P73" s="463"/>
      <c r="Q73" s="463"/>
      <c r="R73" s="463"/>
      <c r="S73" s="463"/>
      <c r="T73" s="463"/>
      <c r="U73" s="463"/>
      <c r="V73" s="463"/>
      <c r="W73" s="463"/>
      <c r="X73" s="463"/>
      <c r="Y73" s="463"/>
      <c r="Z73" s="463"/>
      <c r="AA73" s="463"/>
      <c r="AB73" s="463"/>
      <c r="AC73" s="463"/>
      <c r="AD73" s="463"/>
      <c r="AE73" s="463"/>
      <c r="AF73" s="463"/>
      <c r="AG73" s="463"/>
      <c r="AH73" s="463"/>
      <c r="AI73" s="463"/>
      <c r="AJ73" s="463"/>
      <c r="AK73" s="463"/>
      <c r="AL73" s="463"/>
      <c r="AM73" s="463"/>
      <c r="AN73" s="463"/>
      <c r="AO73" s="463"/>
      <c r="AP73" s="463"/>
      <c r="AQ73" s="463"/>
      <c r="AR73" s="463"/>
    </row>
    <row r="74" spans="1:44" s="4" customFormat="1" x14ac:dyDescent="0.2">
      <c r="A74" s="449" t="s">
        <v>296</v>
      </c>
      <c r="B74" s="449"/>
      <c r="C74" s="8"/>
      <c r="D74" s="450"/>
      <c r="E74" s="450"/>
      <c r="F74" s="450"/>
      <c r="G74" s="450"/>
      <c r="H74" s="450"/>
      <c r="I74" s="450"/>
      <c r="J74" s="450"/>
      <c r="K74" s="450"/>
      <c r="L74" s="450"/>
      <c r="M74" s="450"/>
      <c r="N74" s="450"/>
      <c r="O74" s="450"/>
      <c r="P74" s="450"/>
      <c r="Q74" s="450"/>
      <c r="R74" s="450"/>
      <c r="S74" s="450"/>
      <c r="T74" s="450"/>
      <c r="U74" s="450"/>
      <c r="V74" s="450"/>
      <c r="W74" s="450"/>
      <c r="X74" s="450"/>
      <c r="Y74" s="450"/>
      <c r="Z74" s="450"/>
      <c r="AA74" s="450"/>
      <c r="AB74" s="450"/>
      <c r="AC74" s="450"/>
      <c r="AD74" s="450"/>
      <c r="AE74" s="450"/>
      <c r="AF74" s="450"/>
      <c r="AG74" s="450"/>
      <c r="AH74" s="450"/>
      <c r="AI74" s="450"/>
      <c r="AJ74" s="450"/>
      <c r="AK74" s="450"/>
      <c r="AL74" s="450"/>
      <c r="AM74" s="450"/>
      <c r="AN74" s="450"/>
      <c r="AO74" s="450"/>
      <c r="AP74" s="450"/>
      <c r="AQ74" s="450"/>
      <c r="AR74" s="450"/>
    </row>
    <row r="75" spans="1:44" ht="15" x14ac:dyDescent="0.25">
      <c r="A75" s="2" t="s">
        <v>297</v>
      </c>
      <c r="B75" s="380"/>
      <c r="C75" s="380"/>
      <c r="D75" s="380"/>
      <c r="E75" s="380"/>
      <c r="F75" s="417"/>
      <c r="G75" s="417"/>
      <c r="H75" s="417"/>
      <c r="I75" s="417"/>
      <c r="J75" s="417"/>
      <c r="K75" s="417"/>
      <c r="L75" s="417"/>
      <c r="M75" s="417"/>
      <c r="N75" s="417"/>
      <c r="O75" s="417"/>
      <c r="P75" s="417"/>
      <c r="Q75" s="417"/>
      <c r="R75" s="417"/>
      <c r="S75" s="417"/>
      <c r="T75" s="417"/>
      <c r="U75" s="417"/>
      <c r="V75" s="417"/>
      <c r="W75" s="417"/>
      <c r="X75" s="417"/>
      <c r="Y75" s="417"/>
      <c r="Z75" s="417"/>
      <c r="AA75" s="417"/>
      <c r="AB75" s="417"/>
      <c r="AC75" s="417"/>
      <c r="AD75" s="417"/>
      <c r="AE75" s="417"/>
      <c r="AF75" s="417"/>
      <c r="AG75" s="417"/>
      <c r="AH75" s="417"/>
      <c r="AI75" s="417"/>
      <c r="AJ75" s="417"/>
      <c r="AK75" s="417"/>
      <c r="AL75" s="417"/>
      <c r="AM75" s="417"/>
      <c r="AN75" s="417"/>
      <c r="AO75" s="417"/>
      <c r="AP75" s="417"/>
      <c r="AQ75" s="417"/>
      <c r="AR75" s="417"/>
    </row>
    <row r="76" spans="1:44" x14ac:dyDescent="0.2">
      <c r="A76" s="380"/>
      <c r="B76" s="380" t="s">
        <v>252</v>
      </c>
      <c r="C76" s="52" t="s">
        <v>86</v>
      </c>
      <c r="D76" s="440">
        <f>SUM(F76:AR76)</f>
        <v>12206204.871929897</v>
      </c>
      <c r="E76" s="380"/>
      <c r="F76" s="417">
        <f t="shared" ref="F76:AR76" si="39">(F$45-F$72)*F$11*F15</f>
        <v>0</v>
      </c>
      <c r="G76" s="417">
        <f t="shared" si="39"/>
        <v>0</v>
      </c>
      <c r="H76" s="417">
        <f t="shared" si="39"/>
        <v>0</v>
      </c>
      <c r="I76" s="417">
        <f t="shared" si="39"/>
        <v>0</v>
      </c>
      <c r="J76" s="417">
        <f t="shared" si="39"/>
        <v>0</v>
      </c>
      <c r="K76" s="417">
        <f t="shared" si="39"/>
        <v>0</v>
      </c>
      <c r="L76" s="417">
        <f t="shared" si="39"/>
        <v>0</v>
      </c>
      <c r="M76" s="417">
        <f t="shared" si="39"/>
        <v>0</v>
      </c>
      <c r="N76" s="417">
        <f t="shared" si="39"/>
        <v>0</v>
      </c>
      <c r="O76" s="417">
        <f t="shared" si="39"/>
        <v>402893.6492311848</v>
      </c>
      <c r="P76" s="417">
        <f t="shared" si="39"/>
        <v>422714.4038002583</v>
      </c>
      <c r="Q76" s="417">
        <f t="shared" si="39"/>
        <v>443567.38010427181</v>
      </c>
      <c r="R76" s="417">
        <f t="shared" si="39"/>
        <v>465212.82844013057</v>
      </c>
      <c r="S76" s="417">
        <f t="shared" si="39"/>
        <v>484782.7646271523</v>
      </c>
      <c r="T76" s="417">
        <f t="shared" si="39"/>
        <v>507535.09279852733</v>
      </c>
      <c r="U76" s="417">
        <f t="shared" si="39"/>
        <v>529064.81411576096</v>
      </c>
      <c r="V76" s="417">
        <f t="shared" si="39"/>
        <v>551170.71959932358</v>
      </c>
      <c r="W76" s="417">
        <f t="shared" si="39"/>
        <v>572857.61060866865</v>
      </c>
      <c r="X76" s="417">
        <f t="shared" si="39"/>
        <v>599412.64357613062</v>
      </c>
      <c r="Y76" s="417">
        <f t="shared" si="39"/>
        <v>620986.84219490224</v>
      </c>
      <c r="Z76" s="417">
        <f t="shared" si="39"/>
        <v>643582.29342578817</v>
      </c>
      <c r="AA76" s="417">
        <f t="shared" si="39"/>
        <v>667100.2137112394</v>
      </c>
      <c r="AB76" s="417">
        <f t="shared" si="39"/>
        <v>688790.35663055733</v>
      </c>
      <c r="AC76" s="417">
        <f t="shared" si="39"/>
        <v>709762.44709447864</v>
      </c>
      <c r="AD76" s="417">
        <f t="shared" si="39"/>
        <v>732396.72196991614</v>
      </c>
      <c r="AE76" s="417">
        <f t="shared" si="39"/>
        <v>750436.90186214691</v>
      </c>
      <c r="AF76" s="417">
        <f t="shared" si="39"/>
        <v>775996.71969562536</v>
      </c>
      <c r="AG76" s="417">
        <f t="shared" si="39"/>
        <v>797243.91840845684</v>
      </c>
      <c r="AH76" s="417">
        <f t="shared" si="39"/>
        <v>840696.55003537552</v>
      </c>
      <c r="AI76" s="417">
        <f t="shared" si="39"/>
        <v>0</v>
      </c>
      <c r="AJ76" s="417">
        <f t="shared" si="39"/>
        <v>0</v>
      </c>
      <c r="AK76" s="417">
        <f t="shared" si="39"/>
        <v>0</v>
      </c>
      <c r="AL76" s="417">
        <f t="shared" si="39"/>
        <v>0</v>
      </c>
      <c r="AM76" s="417">
        <f t="shared" si="39"/>
        <v>0</v>
      </c>
      <c r="AN76" s="417">
        <f t="shared" si="39"/>
        <v>0</v>
      </c>
      <c r="AO76" s="417">
        <f t="shared" si="39"/>
        <v>0</v>
      </c>
      <c r="AP76" s="417">
        <f t="shared" si="39"/>
        <v>0</v>
      </c>
      <c r="AQ76" s="417">
        <f t="shared" si="39"/>
        <v>0</v>
      </c>
      <c r="AR76" s="417">
        <f t="shared" si="39"/>
        <v>0</v>
      </c>
    </row>
    <row r="77" spans="1:44" x14ac:dyDescent="0.2">
      <c r="A77" s="380"/>
      <c r="B77" s="380" t="str">
        <f>Inputs!$C$30</f>
        <v>2% Discount Factor</v>
      </c>
      <c r="C77" s="52" t="s">
        <v>86</v>
      </c>
      <c r="D77" s="440">
        <f>SUM(F77:AR77)</f>
        <v>9176941.5726277642</v>
      </c>
      <c r="E77" s="380"/>
      <c r="F77" s="417">
        <f t="shared" ref="F77:AR77" si="40">(F$45-F$72)*F$11*F16</f>
        <v>0</v>
      </c>
      <c r="G77" s="417">
        <f t="shared" si="40"/>
        <v>0</v>
      </c>
      <c r="H77" s="417">
        <f t="shared" si="40"/>
        <v>0</v>
      </c>
      <c r="I77" s="417">
        <f t="shared" si="40"/>
        <v>0</v>
      </c>
      <c r="J77" s="417">
        <f t="shared" si="40"/>
        <v>0</v>
      </c>
      <c r="K77" s="417">
        <f t="shared" si="40"/>
        <v>0</v>
      </c>
      <c r="L77" s="417">
        <f t="shared" si="40"/>
        <v>0</v>
      </c>
      <c r="M77" s="417">
        <f t="shared" si="40"/>
        <v>0</v>
      </c>
      <c r="N77" s="417">
        <f t="shared" si="40"/>
        <v>0</v>
      </c>
      <c r="O77" s="417">
        <f t="shared" si="40"/>
        <v>372211.45501736092</v>
      </c>
      <c r="P77" s="417">
        <f t="shared" si="40"/>
        <v>382865.45928077807</v>
      </c>
      <c r="Q77" s="417">
        <f t="shared" si="40"/>
        <v>393875.13960389822</v>
      </c>
      <c r="R77" s="417">
        <f t="shared" si="40"/>
        <v>404995.76302032417</v>
      </c>
      <c r="S77" s="417">
        <f t="shared" si="40"/>
        <v>413757.42172819673</v>
      </c>
      <c r="T77" s="417">
        <f t="shared" si="40"/>
        <v>424682.66151433613</v>
      </c>
      <c r="U77" s="417">
        <f t="shared" si="40"/>
        <v>434017.42078362958</v>
      </c>
      <c r="V77" s="417">
        <f t="shared" si="40"/>
        <v>443286.23800418735</v>
      </c>
      <c r="W77" s="417">
        <f t="shared" si="40"/>
        <v>451694.31654494914</v>
      </c>
      <c r="X77" s="417">
        <f t="shared" si="40"/>
        <v>463365.46942856751</v>
      </c>
      <c r="Y77" s="417">
        <f t="shared" si="40"/>
        <v>470630.41829746577</v>
      </c>
      <c r="Z77" s="417">
        <f t="shared" si="40"/>
        <v>478191.12397515395</v>
      </c>
      <c r="AA77" s="417">
        <f t="shared" si="40"/>
        <v>485946.35800582351</v>
      </c>
      <c r="AB77" s="417">
        <f t="shared" si="40"/>
        <v>491908.28609241574</v>
      </c>
      <c r="AC77" s="417">
        <f t="shared" si="40"/>
        <v>496946.83133174147</v>
      </c>
      <c r="AD77" s="417">
        <f t="shared" si="40"/>
        <v>502739.63831502735</v>
      </c>
      <c r="AE77" s="417">
        <f t="shared" si="40"/>
        <v>505022.52225964976</v>
      </c>
      <c r="AF77" s="417">
        <f t="shared" si="40"/>
        <v>511983.86955004395</v>
      </c>
      <c r="AG77" s="417">
        <f t="shared" si="40"/>
        <v>515688.48768130603</v>
      </c>
      <c r="AH77" s="417">
        <f t="shared" si="40"/>
        <v>533132.69219290814</v>
      </c>
      <c r="AI77" s="417">
        <f t="shared" si="40"/>
        <v>0</v>
      </c>
      <c r="AJ77" s="417">
        <f t="shared" si="40"/>
        <v>0</v>
      </c>
      <c r="AK77" s="417">
        <f t="shared" si="40"/>
        <v>0</v>
      </c>
      <c r="AL77" s="417">
        <f t="shared" si="40"/>
        <v>0</v>
      </c>
      <c r="AM77" s="417">
        <f t="shared" si="40"/>
        <v>0</v>
      </c>
      <c r="AN77" s="417">
        <f t="shared" si="40"/>
        <v>0</v>
      </c>
      <c r="AO77" s="417">
        <f t="shared" si="40"/>
        <v>0</v>
      </c>
      <c r="AP77" s="417">
        <f t="shared" si="40"/>
        <v>0</v>
      </c>
      <c r="AQ77" s="417">
        <f t="shared" si="40"/>
        <v>0</v>
      </c>
      <c r="AR77" s="417">
        <f t="shared" si="40"/>
        <v>0</v>
      </c>
    </row>
    <row r="78" spans="1:44" x14ac:dyDescent="0.2">
      <c r="A78" s="380"/>
      <c r="B78" s="380" t="str">
        <f>Inputs!$C$31</f>
        <v>3.1% Discount Factor</v>
      </c>
      <c r="C78" s="52" t="s">
        <v>86</v>
      </c>
      <c r="D78" s="440">
        <f>SUM(F78:AR78)</f>
        <v>7905002.2530592773</v>
      </c>
      <c r="E78" s="380"/>
      <c r="F78" s="417">
        <f t="shared" ref="F78:AR78" si="41">(F$45-F$72)*F$11*F17</f>
        <v>0</v>
      </c>
      <c r="G78" s="417">
        <f t="shared" si="41"/>
        <v>0</v>
      </c>
      <c r="H78" s="417">
        <f t="shared" si="41"/>
        <v>0</v>
      </c>
      <c r="I78" s="417">
        <f t="shared" si="41"/>
        <v>0</v>
      </c>
      <c r="J78" s="417">
        <f t="shared" si="41"/>
        <v>0</v>
      </c>
      <c r="K78" s="417">
        <f t="shared" si="41"/>
        <v>0</v>
      </c>
      <c r="L78" s="417">
        <f t="shared" si="41"/>
        <v>0</v>
      </c>
      <c r="M78" s="417">
        <f t="shared" si="41"/>
        <v>0</v>
      </c>
      <c r="N78" s="417">
        <f t="shared" si="41"/>
        <v>0</v>
      </c>
      <c r="O78" s="417">
        <f t="shared" si="41"/>
        <v>356578.99825560668</v>
      </c>
      <c r="P78" s="417">
        <f t="shared" si="41"/>
        <v>362872.21863826452</v>
      </c>
      <c r="Q78" s="417">
        <f t="shared" si="41"/>
        <v>369324.06667070492</v>
      </c>
      <c r="R78" s="417">
        <f t="shared" si="41"/>
        <v>375699.85295975691</v>
      </c>
      <c r="S78" s="417">
        <f t="shared" si="41"/>
        <v>379732.570200463</v>
      </c>
      <c r="T78" s="417">
        <f t="shared" si="41"/>
        <v>385600.94427655573</v>
      </c>
      <c r="U78" s="417">
        <f t="shared" si="41"/>
        <v>389872.16212379525</v>
      </c>
      <c r="V78" s="417">
        <f t="shared" si="41"/>
        <v>393949.74157769448</v>
      </c>
      <c r="W78" s="417">
        <f t="shared" si="41"/>
        <v>397139.15170671605</v>
      </c>
      <c r="X78" s="417">
        <f t="shared" si="41"/>
        <v>403054.0140749003</v>
      </c>
      <c r="Y78" s="417">
        <f t="shared" si="41"/>
        <v>405005.65222875809</v>
      </c>
      <c r="Z78" s="417">
        <f t="shared" si="41"/>
        <v>407121.56544794631</v>
      </c>
      <c r="AA78" s="417">
        <f t="shared" si="41"/>
        <v>409310.07546038937</v>
      </c>
      <c r="AB78" s="417">
        <f t="shared" si="41"/>
        <v>409911.16569167579</v>
      </c>
      <c r="AC78" s="417">
        <f t="shared" si="41"/>
        <v>409691.58374789212</v>
      </c>
      <c r="AD78" s="417">
        <f t="shared" si="41"/>
        <v>410045.21798741602</v>
      </c>
      <c r="AE78" s="417">
        <f t="shared" si="41"/>
        <v>407512.44497965986</v>
      </c>
      <c r="AF78" s="417">
        <f t="shared" si="41"/>
        <v>408721.90554867755</v>
      </c>
      <c r="AG78" s="417">
        <f t="shared" si="41"/>
        <v>407287.02860950824</v>
      </c>
      <c r="AH78" s="417">
        <f t="shared" si="41"/>
        <v>416571.89287289599</v>
      </c>
      <c r="AI78" s="417">
        <f t="shared" si="41"/>
        <v>0</v>
      </c>
      <c r="AJ78" s="417">
        <f t="shared" si="41"/>
        <v>0</v>
      </c>
      <c r="AK78" s="417">
        <f t="shared" si="41"/>
        <v>0</v>
      </c>
      <c r="AL78" s="417">
        <f t="shared" si="41"/>
        <v>0</v>
      </c>
      <c r="AM78" s="417">
        <f t="shared" si="41"/>
        <v>0</v>
      </c>
      <c r="AN78" s="417">
        <f t="shared" si="41"/>
        <v>0</v>
      </c>
      <c r="AO78" s="417">
        <f t="shared" si="41"/>
        <v>0</v>
      </c>
      <c r="AP78" s="417">
        <f t="shared" si="41"/>
        <v>0</v>
      </c>
      <c r="AQ78" s="417">
        <f t="shared" si="41"/>
        <v>0</v>
      </c>
      <c r="AR78" s="417">
        <f t="shared" si="41"/>
        <v>0</v>
      </c>
    </row>
    <row r="79" spans="1:44" x14ac:dyDescent="0.2">
      <c r="A79" s="380"/>
      <c r="B79" s="380"/>
      <c r="C79" s="52"/>
      <c r="D79" s="440"/>
      <c r="E79" s="380"/>
      <c r="F79" s="417"/>
      <c r="G79" s="417"/>
      <c r="H79" s="417"/>
      <c r="I79" s="417"/>
      <c r="J79" s="417"/>
      <c r="K79" s="417"/>
      <c r="L79" s="417"/>
      <c r="M79" s="417"/>
      <c r="N79" s="417"/>
      <c r="O79" s="417"/>
      <c r="P79" s="417"/>
      <c r="Q79" s="417"/>
      <c r="R79" s="417"/>
      <c r="S79" s="417"/>
      <c r="T79" s="417"/>
      <c r="U79" s="417"/>
      <c r="V79" s="417"/>
      <c r="W79" s="417"/>
      <c r="X79" s="417"/>
      <c r="Y79" s="417"/>
      <c r="Z79" s="417"/>
      <c r="AA79" s="417"/>
      <c r="AB79" s="417"/>
      <c r="AC79" s="417"/>
      <c r="AD79" s="417"/>
      <c r="AE79" s="417"/>
      <c r="AF79" s="417"/>
      <c r="AG79" s="417"/>
      <c r="AH79" s="417"/>
      <c r="AI79" s="417"/>
      <c r="AJ79" s="417"/>
      <c r="AK79" s="417"/>
      <c r="AL79" s="417"/>
      <c r="AM79" s="417"/>
      <c r="AN79" s="417"/>
      <c r="AO79" s="417"/>
      <c r="AP79" s="417"/>
      <c r="AQ79" s="417"/>
      <c r="AR79" s="417"/>
    </row>
  </sheetData>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1A728-3FAD-4404-8B99-E8A684C40B66}">
  <sheetPr>
    <tabColor theme="9"/>
  </sheetPr>
  <dimension ref="A1:AS61"/>
  <sheetViews>
    <sheetView workbookViewId="0">
      <pane xSplit="4" ySplit="11" topLeftCell="E35" activePane="bottomRight" state="frozen"/>
      <selection pane="topRight" activeCell="E1" sqref="E1"/>
      <selection pane="bottomLeft" activeCell="A12" sqref="A12"/>
      <selection pane="bottomRight" activeCell="A4" sqref="A4"/>
    </sheetView>
  </sheetViews>
  <sheetFormatPr defaultColWidth="0" defaultRowHeight="14.25" x14ac:dyDescent="0.2"/>
  <cols>
    <col min="1" max="1" width="10.5703125" style="1" customWidth="1"/>
    <col min="2" max="2" width="43.85546875" style="1" bestFit="1" customWidth="1"/>
    <col min="3" max="3" width="22.28515625" style="1" bestFit="1" customWidth="1"/>
    <col min="4" max="4" width="15.140625" style="1" bestFit="1" customWidth="1"/>
    <col min="5" max="5" width="1.5703125" style="1" customWidth="1"/>
    <col min="6" max="44" width="14.42578125" style="1" customWidth="1"/>
    <col min="45" max="45" width="9.140625" style="1" customWidth="1"/>
    <col min="46" max="16384" width="9.140625" style="1" hidden="1"/>
  </cols>
  <sheetData>
    <row r="1" spans="1:44" ht="19.5" x14ac:dyDescent="0.3">
      <c r="A1" s="3" t="str">
        <f>Summary!$A$1</f>
        <v>Multimodal Improvements to Safely Connect Tulsa at US-75 and 81st Street Interchange</v>
      </c>
      <c r="B1" s="380"/>
      <c r="C1" s="380"/>
      <c r="D1" s="380"/>
      <c r="E1" s="380"/>
      <c r="F1" s="380"/>
      <c r="G1" s="380"/>
      <c r="H1" s="380"/>
      <c r="I1" s="380"/>
      <c r="J1" s="380"/>
      <c r="K1" s="380"/>
      <c r="L1" s="380"/>
      <c r="M1" s="380"/>
      <c r="N1" s="380"/>
      <c r="O1" s="380"/>
      <c r="P1" s="380"/>
      <c r="Q1" s="380"/>
      <c r="R1" s="380"/>
      <c r="S1" s="380"/>
      <c r="T1" s="380"/>
      <c r="U1" s="380"/>
      <c r="V1" s="380"/>
      <c r="W1" s="380"/>
      <c r="X1" s="380"/>
      <c r="Y1" s="380"/>
      <c r="Z1" s="380"/>
      <c r="AA1" s="380"/>
      <c r="AB1" s="380"/>
      <c r="AC1" s="380"/>
      <c r="AD1" s="380"/>
      <c r="AE1" s="380"/>
      <c r="AF1" s="380"/>
      <c r="AG1" s="380"/>
      <c r="AH1" s="380"/>
      <c r="AI1" s="380"/>
      <c r="AJ1" s="380"/>
      <c r="AK1" s="380"/>
      <c r="AL1" s="380"/>
      <c r="AM1" s="380"/>
      <c r="AN1" s="380"/>
      <c r="AO1" s="380"/>
      <c r="AP1" s="380"/>
      <c r="AQ1" s="380"/>
      <c r="AR1" s="380"/>
    </row>
    <row r="2" spans="1:44" ht="19.5" x14ac:dyDescent="0.3">
      <c r="A2" s="3" t="s">
        <v>350</v>
      </c>
      <c r="B2" s="380"/>
      <c r="C2" s="7"/>
      <c r="D2" s="380"/>
      <c r="E2" s="380"/>
      <c r="F2" s="380"/>
      <c r="G2" s="380"/>
      <c r="H2" s="380"/>
      <c r="I2" s="380"/>
      <c r="J2" s="380"/>
      <c r="K2" s="380"/>
      <c r="L2" s="380"/>
      <c r="M2" s="380"/>
      <c r="N2" s="380"/>
      <c r="O2" s="380"/>
      <c r="P2" s="380"/>
      <c r="Q2" s="380"/>
      <c r="R2" s="380"/>
      <c r="S2" s="380"/>
      <c r="T2" s="380"/>
      <c r="U2" s="380"/>
      <c r="V2" s="380"/>
      <c r="W2" s="380"/>
      <c r="X2" s="380"/>
      <c r="Y2" s="380"/>
      <c r="Z2" s="380"/>
      <c r="AA2" s="380"/>
      <c r="AB2" s="380"/>
      <c r="AC2" s="380"/>
      <c r="AD2" s="380"/>
      <c r="AE2" s="380"/>
      <c r="AF2" s="380"/>
      <c r="AG2" s="380"/>
      <c r="AH2" s="380"/>
      <c r="AI2" s="380"/>
      <c r="AJ2" s="380"/>
      <c r="AK2" s="380"/>
      <c r="AL2" s="380"/>
      <c r="AM2" s="380"/>
      <c r="AN2" s="380"/>
      <c r="AO2" s="380"/>
      <c r="AP2" s="380"/>
      <c r="AQ2" s="380"/>
      <c r="AR2" s="380"/>
    </row>
    <row r="3" spans="1:44" x14ac:dyDescent="0.2">
      <c r="A3" s="381">
        <f ca="1">Summary!A3</f>
        <v>45687</v>
      </c>
      <c r="B3" s="380"/>
      <c r="C3" s="7"/>
      <c r="D3" s="7"/>
      <c r="E3" s="380"/>
      <c r="F3" s="380"/>
      <c r="G3" s="380"/>
      <c r="H3" s="380"/>
      <c r="I3" s="380"/>
      <c r="J3" s="380"/>
      <c r="K3" s="380"/>
      <c r="L3" s="380"/>
      <c r="M3" s="380"/>
      <c r="N3" s="380"/>
      <c r="O3" s="380"/>
      <c r="P3" s="380"/>
      <c r="Q3" s="380"/>
      <c r="R3" s="380"/>
      <c r="S3" s="380"/>
      <c r="T3" s="380"/>
      <c r="U3" s="380"/>
      <c r="V3" s="380"/>
      <c r="W3" s="380"/>
      <c r="X3" s="380"/>
      <c r="Y3" s="380"/>
      <c r="Z3" s="380"/>
      <c r="AA3" s="380"/>
      <c r="AB3" s="380"/>
      <c r="AC3" s="380"/>
      <c r="AD3" s="380"/>
      <c r="AE3" s="380"/>
      <c r="AF3" s="380"/>
      <c r="AG3" s="380"/>
      <c r="AH3" s="380"/>
      <c r="AI3" s="380"/>
      <c r="AJ3" s="380"/>
      <c r="AK3" s="380"/>
      <c r="AL3" s="380"/>
      <c r="AM3" s="380"/>
      <c r="AN3" s="380"/>
      <c r="AO3" s="380"/>
      <c r="AP3" s="380"/>
      <c r="AQ3" s="380"/>
      <c r="AR3" s="380"/>
    </row>
    <row r="4" spans="1:44" x14ac:dyDescent="0.2">
      <c r="A4" s="33" t="str">
        <f>Summary!A4</f>
        <v>All $ values 2023, unless otherwise noted</v>
      </c>
      <c r="B4" s="380"/>
      <c r="C4" s="358" t="s">
        <v>259</v>
      </c>
      <c r="D4" s="359">
        <f>Summary!$E$9</f>
        <v>1.8138898580989069</v>
      </c>
      <c r="E4" s="380"/>
      <c r="F4" s="380"/>
      <c r="G4" s="380"/>
      <c r="H4" s="380"/>
      <c r="I4" s="380"/>
      <c r="J4" s="380"/>
      <c r="K4" s="380"/>
      <c r="L4" s="380"/>
      <c r="M4" s="380"/>
      <c r="N4" s="380"/>
      <c r="O4" s="380"/>
      <c r="P4" s="380"/>
      <c r="Q4" s="380"/>
      <c r="R4" s="380"/>
      <c r="S4" s="380"/>
      <c r="T4" s="380"/>
      <c r="U4" s="380"/>
      <c r="V4" s="380"/>
      <c r="W4" s="380"/>
      <c r="X4" s="380"/>
      <c r="Y4" s="380"/>
      <c r="Z4" s="380"/>
      <c r="AA4" s="380"/>
      <c r="AB4" s="380"/>
      <c r="AC4" s="380"/>
      <c r="AD4" s="380"/>
      <c r="AE4" s="380"/>
      <c r="AF4" s="380"/>
      <c r="AG4" s="380"/>
      <c r="AH4" s="380"/>
      <c r="AI4" s="380"/>
      <c r="AJ4" s="380"/>
      <c r="AK4" s="380"/>
      <c r="AL4" s="380"/>
      <c r="AM4" s="380"/>
      <c r="AN4" s="380"/>
      <c r="AO4" s="380"/>
      <c r="AP4" s="380"/>
      <c r="AQ4" s="380"/>
      <c r="AR4" s="380"/>
    </row>
    <row r="5" spans="1:44" x14ac:dyDescent="0.2">
      <c r="A5" s="380"/>
      <c r="B5" s="382"/>
      <c r="C5" s="7"/>
      <c r="D5" s="380"/>
      <c r="E5" s="380"/>
      <c r="F5" s="380"/>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c r="AI5" s="380"/>
      <c r="AJ5" s="380"/>
      <c r="AK5" s="380"/>
      <c r="AL5" s="380"/>
      <c r="AM5" s="380"/>
      <c r="AN5" s="380"/>
      <c r="AO5" s="380"/>
      <c r="AP5" s="380"/>
      <c r="AQ5" s="380"/>
      <c r="AR5" s="380"/>
    </row>
    <row r="6" spans="1:44" x14ac:dyDescent="0.2">
      <c r="A6" s="380"/>
      <c r="B6" s="380"/>
      <c r="C6" s="380" t="s">
        <v>48</v>
      </c>
      <c r="D6" s="380" t="s">
        <v>49</v>
      </c>
      <c r="E6" s="380"/>
      <c r="F6" s="380"/>
      <c r="G6" s="380"/>
      <c r="H6" s="380"/>
      <c r="I6" s="380"/>
      <c r="J6" s="380"/>
      <c r="K6" s="380"/>
      <c r="L6" s="380"/>
      <c r="M6" s="380"/>
      <c r="N6" s="380"/>
      <c r="O6" s="380"/>
      <c r="P6" s="380"/>
      <c r="Q6" s="380"/>
      <c r="R6" s="380"/>
      <c r="S6" s="380"/>
      <c r="T6" s="380"/>
      <c r="U6" s="380"/>
      <c r="V6" s="380"/>
      <c r="W6" s="380"/>
      <c r="X6" s="380"/>
      <c r="Y6" s="380"/>
      <c r="Z6" s="380"/>
      <c r="AA6" s="380"/>
      <c r="AB6" s="380"/>
      <c r="AC6" s="380"/>
      <c r="AD6" s="380"/>
      <c r="AE6" s="380"/>
      <c r="AF6" s="380"/>
      <c r="AG6" s="380"/>
      <c r="AH6" s="380"/>
      <c r="AI6" s="380"/>
      <c r="AJ6" s="380"/>
      <c r="AK6" s="380"/>
      <c r="AL6" s="380"/>
      <c r="AM6" s="380"/>
      <c r="AN6" s="380"/>
      <c r="AO6" s="380"/>
      <c r="AP6" s="380"/>
      <c r="AQ6" s="380"/>
      <c r="AR6" s="380"/>
    </row>
    <row r="7" spans="1:44" s="4" customFormat="1" x14ac:dyDescent="0.2">
      <c r="A7" s="450" t="s">
        <v>235</v>
      </c>
      <c r="B7" s="450"/>
      <c r="C7" s="182" t="s">
        <v>235</v>
      </c>
      <c r="D7" s="450"/>
      <c r="E7" s="450"/>
      <c r="F7" s="450">
        <f>Inputs!$E$12</f>
        <v>2018</v>
      </c>
      <c r="G7" s="450">
        <f>F7+1</f>
        <v>2019</v>
      </c>
      <c r="H7" s="450">
        <f t="shared" ref="H7:W8" si="0">G7+1</f>
        <v>2020</v>
      </c>
      <c r="I7" s="450">
        <f t="shared" si="0"/>
        <v>2021</v>
      </c>
      <c r="J7" s="450">
        <f t="shared" si="0"/>
        <v>2022</v>
      </c>
      <c r="K7" s="450">
        <f t="shared" si="0"/>
        <v>2023</v>
      </c>
      <c r="L7" s="450">
        <f t="shared" si="0"/>
        <v>2024</v>
      </c>
      <c r="M7" s="450">
        <f t="shared" si="0"/>
        <v>2025</v>
      </c>
      <c r="N7" s="450">
        <f t="shared" si="0"/>
        <v>2026</v>
      </c>
      <c r="O7" s="450">
        <f t="shared" si="0"/>
        <v>2027</v>
      </c>
      <c r="P7" s="450">
        <f t="shared" si="0"/>
        <v>2028</v>
      </c>
      <c r="Q7" s="450">
        <f t="shared" si="0"/>
        <v>2029</v>
      </c>
      <c r="R7" s="450">
        <f t="shared" si="0"/>
        <v>2030</v>
      </c>
      <c r="S7" s="450">
        <f t="shared" si="0"/>
        <v>2031</v>
      </c>
      <c r="T7" s="450">
        <f t="shared" si="0"/>
        <v>2032</v>
      </c>
      <c r="U7" s="450">
        <f t="shared" si="0"/>
        <v>2033</v>
      </c>
      <c r="V7" s="450">
        <f t="shared" si="0"/>
        <v>2034</v>
      </c>
      <c r="W7" s="450">
        <f t="shared" si="0"/>
        <v>2035</v>
      </c>
      <c r="X7" s="450">
        <f t="shared" ref="X7:AM8" si="1">W7+1</f>
        <v>2036</v>
      </c>
      <c r="Y7" s="450">
        <f t="shared" si="1"/>
        <v>2037</v>
      </c>
      <c r="Z7" s="450">
        <f t="shared" si="1"/>
        <v>2038</v>
      </c>
      <c r="AA7" s="450">
        <f t="shared" si="1"/>
        <v>2039</v>
      </c>
      <c r="AB7" s="450">
        <f t="shared" si="1"/>
        <v>2040</v>
      </c>
      <c r="AC7" s="450">
        <f t="shared" si="1"/>
        <v>2041</v>
      </c>
      <c r="AD7" s="450">
        <f t="shared" si="1"/>
        <v>2042</v>
      </c>
      <c r="AE7" s="450">
        <f t="shared" si="1"/>
        <v>2043</v>
      </c>
      <c r="AF7" s="450">
        <f t="shared" si="1"/>
        <v>2044</v>
      </c>
      <c r="AG7" s="450">
        <f t="shared" si="1"/>
        <v>2045</v>
      </c>
      <c r="AH7" s="450">
        <f t="shared" si="1"/>
        <v>2046</v>
      </c>
      <c r="AI7" s="450">
        <f t="shared" si="1"/>
        <v>2047</v>
      </c>
      <c r="AJ7" s="450">
        <f t="shared" si="1"/>
        <v>2048</v>
      </c>
      <c r="AK7" s="450">
        <f t="shared" si="1"/>
        <v>2049</v>
      </c>
      <c r="AL7" s="450">
        <f t="shared" si="1"/>
        <v>2050</v>
      </c>
      <c r="AM7" s="450">
        <f t="shared" si="1"/>
        <v>2051</v>
      </c>
      <c r="AN7" s="450">
        <f t="shared" ref="AN7:AR8" si="2">AM7+1</f>
        <v>2052</v>
      </c>
      <c r="AO7" s="450">
        <f t="shared" si="2"/>
        <v>2053</v>
      </c>
      <c r="AP7" s="450">
        <f t="shared" si="2"/>
        <v>2054</v>
      </c>
      <c r="AQ7" s="450">
        <f t="shared" si="2"/>
        <v>2055</v>
      </c>
      <c r="AR7" s="450">
        <f t="shared" si="2"/>
        <v>2056</v>
      </c>
    </row>
    <row r="8" spans="1:44" x14ac:dyDescent="0.2">
      <c r="A8" s="380"/>
      <c r="B8" s="380" t="s">
        <v>236</v>
      </c>
      <c r="C8" s="11" t="s">
        <v>54</v>
      </c>
      <c r="D8" s="380"/>
      <c r="E8" s="380"/>
      <c r="F8" s="380">
        <f>D8+1</f>
        <v>1</v>
      </c>
      <c r="G8" s="380">
        <f t="shared" ref="G8" si="3">F8+1</f>
        <v>2</v>
      </c>
      <c r="H8" s="380">
        <f t="shared" si="0"/>
        <v>3</v>
      </c>
      <c r="I8" s="380">
        <f t="shared" si="0"/>
        <v>4</v>
      </c>
      <c r="J8" s="380">
        <f t="shared" si="0"/>
        <v>5</v>
      </c>
      <c r="K8" s="380">
        <f t="shared" si="0"/>
        <v>6</v>
      </c>
      <c r="L8" s="380">
        <f t="shared" si="0"/>
        <v>7</v>
      </c>
      <c r="M8" s="380">
        <f t="shared" si="0"/>
        <v>8</v>
      </c>
      <c r="N8" s="380">
        <f t="shared" si="0"/>
        <v>9</v>
      </c>
      <c r="O8" s="380">
        <f t="shared" si="0"/>
        <v>10</v>
      </c>
      <c r="P8" s="380">
        <f t="shared" si="0"/>
        <v>11</v>
      </c>
      <c r="Q8" s="380">
        <f t="shared" si="0"/>
        <v>12</v>
      </c>
      <c r="R8" s="380">
        <f t="shared" si="0"/>
        <v>13</v>
      </c>
      <c r="S8" s="380">
        <f t="shared" si="0"/>
        <v>14</v>
      </c>
      <c r="T8" s="380">
        <f t="shared" si="0"/>
        <v>15</v>
      </c>
      <c r="U8" s="380">
        <f t="shared" si="0"/>
        <v>16</v>
      </c>
      <c r="V8" s="380">
        <f t="shared" si="0"/>
        <v>17</v>
      </c>
      <c r="W8" s="380">
        <f t="shared" si="0"/>
        <v>18</v>
      </c>
      <c r="X8" s="380">
        <f t="shared" si="1"/>
        <v>19</v>
      </c>
      <c r="Y8" s="380">
        <f t="shared" si="1"/>
        <v>20</v>
      </c>
      <c r="Z8" s="380">
        <f t="shared" si="1"/>
        <v>21</v>
      </c>
      <c r="AA8" s="380">
        <f t="shared" si="1"/>
        <v>22</v>
      </c>
      <c r="AB8" s="380">
        <f t="shared" si="1"/>
        <v>23</v>
      </c>
      <c r="AC8" s="380">
        <f t="shared" si="1"/>
        <v>24</v>
      </c>
      <c r="AD8" s="380">
        <f t="shared" si="1"/>
        <v>25</v>
      </c>
      <c r="AE8" s="380">
        <f t="shared" si="1"/>
        <v>26</v>
      </c>
      <c r="AF8" s="380">
        <f t="shared" si="1"/>
        <v>27</v>
      </c>
      <c r="AG8" s="380">
        <f t="shared" si="1"/>
        <v>28</v>
      </c>
      <c r="AH8" s="380">
        <f t="shared" si="1"/>
        <v>29</v>
      </c>
      <c r="AI8" s="380">
        <f t="shared" si="1"/>
        <v>30</v>
      </c>
      <c r="AJ8" s="380">
        <f t="shared" si="1"/>
        <v>31</v>
      </c>
      <c r="AK8" s="380">
        <f t="shared" si="1"/>
        <v>32</v>
      </c>
      <c r="AL8" s="380">
        <f t="shared" si="1"/>
        <v>33</v>
      </c>
      <c r="AM8" s="380">
        <f t="shared" si="1"/>
        <v>34</v>
      </c>
      <c r="AN8" s="380">
        <f t="shared" si="2"/>
        <v>35</v>
      </c>
      <c r="AO8" s="380">
        <f t="shared" si="2"/>
        <v>36</v>
      </c>
      <c r="AP8" s="380">
        <f t="shared" si="2"/>
        <v>37</v>
      </c>
      <c r="AQ8" s="380">
        <f t="shared" si="2"/>
        <v>38</v>
      </c>
      <c r="AR8" s="380">
        <f t="shared" si="2"/>
        <v>39</v>
      </c>
    </row>
    <row r="9" spans="1:44" x14ac:dyDescent="0.2">
      <c r="A9" s="380"/>
      <c r="B9" s="380" t="s">
        <v>237</v>
      </c>
      <c r="C9" s="11" t="s">
        <v>238</v>
      </c>
      <c r="D9" s="380"/>
      <c r="E9" s="380"/>
      <c r="F9" s="380">
        <f>IF(F7=Inputs!$E$13,1,0)</f>
        <v>0</v>
      </c>
      <c r="G9" s="380">
        <f>IF(G7=Inputs!$E$13,1,0)</f>
        <v>0</v>
      </c>
      <c r="H9" s="380">
        <f>IF(H7=Inputs!$E$13,1,0)</f>
        <v>0</v>
      </c>
      <c r="I9" s="380">
        <f>IF(I7=Inputs!$E$13,1,0)</f>
        <v>0</v>
      </c>
      <c r="J9" s="380">
        <f>IF(J7=Inputs!$E$13,1,0)</f>
        <v>0</v>
      </c>
      <c r="K9" s="380">
        <f>IF(K7=Inputs!$E$13,1,0)</f>
        <v>1</v>
      </c>
      <c r="L9" s="380">
        <f>IF(L7=Inputs!$E$13,1,0)</f>
        <v>0</v>
      </c>
      <c r="M9" s="380">
        <f>IF(M7=Inputs!$E$13,1,0)</f>
        <v>0</v>
      </c>
      <c r="N9" s="380">
        <f>IF(N7=Inputs!$E$13,1,0)</f>
        <v>0</v>
      </c>
      <c r="O9" s="380">
        <f>IF(O7=Inputs!$E$13,1,0)</f>
        <v>0</v>
      </c>
      <c r="P9" s="380">
        <f>IF(P7=Inputs!$E$13,1,0)</f>
        <v>0</v>
      </c>
      <c r="Q9" s="380">
        <f>IF(Q7=Inputs!$E$13,1,0)</f>
        <v>0</v>
      </c>
      <c r="R9" s="380">
        <f>IF(R7=Inputs!$E$13,1,0)</f>
        <v>0</v>
      </c>
      <c r="S9" s="380">
        <f>IF(S7=Inputs!$E$13,1,0)</f>
        <v>0</v>
      </c>
      <c r="T9" s="380">
        <f>IF(T7=Inputs!$E$13,1,0)</f>
        <v>0</v>
      </c>
      <c r="U9" s="380">
        <f>IF(U7=Inputs!$E$13,1,0)</f>
        <v>0</v>
      </c>
      <c r="V9" s="380">
        <f>IF(V7=Inputs!$E$13,1,0)</f>
        <v>0</v>
      </c>
      <c r="W9" s="380">
        <f>IF(W7=Inputs!$E$13,1,0)</f>
        <v>0</v>
      </c>
      <c r="X9" s="380">
        <f>IF(X7=Inputs!$E$13,1,0)</f>
        <v>0</v>
      </c>
      <c r="Y9" s="380">
        <f>IF(Y7=Inputs!$E$13,1,0)</f>
        <v>0</v>
      </c>
      <c r="Z9" s="380">
        <f>IF(Z7=Inputs!$E$13,1,0)</f>
        <v>0</v>
      </c>
      <c r="AA9" s="380">
        <f>IF(AA7=Inputs!$E$13,1,0)</f>
        <v>0</v>
      </c>
      <c r="AB9" s="380">
        <f>IF(AB7=Inputs!$E$13,1,0)</f>
        <v>0</v>
      </c>
      <c r="AC9" s="380">
        <f>IF(AC7=Inputs!$E$13,1,0)</f>
        <v>0</v>
      </c>
      <c r="AD9" s="380">
        <f>IF(AD7=Inputs!$E$13,1,0)</f>
        <v>0</v>
      </c>
      <c r="AE9" s="380">
        <f>IF(AE7=Inputs!$E$13,1,0)</f>
        <v>0</v>
      </c>
      <c r="AF9" s="380">
        <f>IF(AF7=Inputs!$E$13,1,0)</f>
        <v>0</v>
      </c>
      <c r="AG9" s="380">
        <f>IF(AG7=Inputs!$E$13,1,0)</f>
        <v>0</v>
      </c>
      <c r="AH9" s="380">
        <f>IF(AH7=Inputs!$E$13,1,0)</f>
        <v>0</v>
      </c>
      <c r="AI9" s="380">
        <f>IF(AI7=Inputs!$E$13,1,0)</f>
        <v>0</v>
      </c>
      <c r="AJ9" s="380">
        <f>IF(AJ7=Inputs!$E$13,1,0)</f>
        <v>0</v>
      </c>
      <c r="AK9" s="380">
        <f>IF(AK7=Inputs!$E$13,1,0)</f>
        <v>0</v>
      </c>
      <c r="AL9" s="380">
        <f>IF(AL7=Inputs!$E$13,1,0)</f>
        <v>0</v>
      </c>
      <c r="AM9" s="380">
        <f>IF(AM7=Inputs!$E$13,1,0)</f>
        <v>0</v>
      </c>
      <c r="AN9" s="380">
        <f>IF(AN7=Inputs!$E$13,1,0)</f>
        <v>0</v>
      </c>
      <c r="AO9" s="380">
        <f>IF(AO7=Inputs!$E$13,1,0)</f>
        <v>0</v>
      </c>
      <c r="AP9" s="380">
        <f>IF(AP7=Inputs!$E$13,1,0)</f>
        <v>0</v>
      </c>
      <c r="AQ9" s="380">
        <f>IF(AQ7=Inputs!$E$13,1,0)</f>
        <v>0</v>
      </c>
      <c r="AR9" s="380">
        <f>IF(AR7=Inputs!$E$13,1,0)</f>
        <v>0</v>
      </c>
    </row>
    <row r="10" spans="1:44" x14ac:dyDescent="0.2">
      <c r="A10" s="380"/>
      <c r="B10" s="380" t="s">
        <v>239</v>
      </c>
      <c r="C10" s="11" t="s">
        <v>61</v>
      </c>
      <c r="D10" s="380"/>
      <c r="E10" s="380"/>
      <c r="F10" s="428">
        <f>F7-Inputs!$E$13</f>
        <v>-5</v>
      </c>
      <c r="G10" s="428">
        <f>G7-Inputs!$E$13</f>
        <v>-4</v>
      </c>
      <c r="H10" s="428">
        <f>H7-Inputs!$E$13</f>
        <v>-3</v>
      </c>
      <c r="I10" s="428">
        <f>I7-Inputs!$E$13</f>
        <v>-2</v>
      </c>
      <c r="J10" s="428">
        <f>J7-Inputs!$E$13</f>
        <v>-1</v>
      </c>
      <c r="K10" s="428">
        <f>K7-Inputs!$E$13</f>
        <v>0</v>
      </c>
      <c r="L10" s="428">
        <f>L7-Inputs!$E$13</f>
        <v>1</v>
      </c>
      <c r="M10" s="428">
        <f>M7-Inputs!$E$13</f>
        <v>2</v>
      </c>
      <c r="N10" s="428">
        <f>N7-Inputs!$E$13</f>
        <v>3</v>
      </c>
      <c r="O10" s="428">
        <f>O7-Inputs!$E$13</f>
        <v>4</v>
      </c>
      <c r="P10" s="428">
        <f>P7-Inputs!$E$13</f>
        <v>5</v>
      </c>
      <c r="Q10" s="428">
        <f>Q7-Inputs!$E$13</f>
        <v>6</v>
      </c>
      <c r="R10" s="428">
        <f>R7-Inputs!$E$13</f>
        <v>7</v>
      </c>
      <c r="S10" s="428">
        <f>S7-Inputs!$E$13</f>
        <v>8</v>
      </c>
      <c r="T10" s="428">
        <f>T7-Inputs!$E$13</f>
        <v>9</v>
      </c>
      <c r="U10" s="428">
        <f>U7-Inputs!$E$13</f>
        <v>10</v>
      </c>
      <c r="V10" s="428">
        <f>V7-Inputs!$E$13</f>
        <v>11</v>
      </c>
      <c r="W10" s="428">
        <f>W7-Inputs!$E$13</f>
        <v>12</v>
      </c>
      <c r="X10" s="428">
        <f>X7-Inputs!$E$13</f>
        <v>13</v>
      </c>
      <c r="Y10" s="428">
        <f>Y7-Inputs!$E$13</f>
        <v>14</v>
      </c>
      <c r="Z10" s="428">
        <f>Z7-Inputs!$E$13</f>
        <v>15</v>
      </c>
      <c r="AA10" s="428">
        <f>AA7-Inputs!$E$13</f>
        <v>16</v>
      </c>
      <c r="AB10" s="428">
        <f>AB7-Inputs!$E$13</f>
        <v>17</v>
      </c>
      <c r="AC10" s="428">
        <f>AC7-Inputs!$E$13</f>
        <v>18</v>
      </c>
      <c r="AD10" s="428">
        <f>AD7-Inputs!$E$13</f>
        <v>19</v>
      </c>
      <c r="AE10" s="428">
        <f>AE7-Inputs!$E$13</f>
        <v>20</v>
      </c>
      <c r="AF10" s="428">
        <f>AF7-Inputs!$E$13</f>
        <v>21</v>
      </c>
      <c r="AG10" s="428">
        <f>AG7-Inputs!$E$13</f>
        <v>22</v>
      </c>
      <c r="AH10" s="428">
        <f>AH7-Inputs!$E$13</f>
        <v>23</v>
      </c>
      <c r="AI10" s="428">
        <f>AI7-Inputs!$E$13</f>
        <v>24</v>
      </c>
      <c r="AJ10" s="428">
        <f>AJ7-Inputs!$E$13</f>
        <v>25</v>
      </c>
      <c r="AK10" s="428">
        <f>AK7-Inputs!$E$13</f>
        <v>26</v>
      </c>
      <c r="AL10" s="428">
        <f>AL7-Inputs!$E$13</f>
        <v>27</v>
      </c>
      <c r="AM10" s="428">
        <f>AM7-Inputs!$E$13</f>
        <v>28</v>
      </c>
      <c r="AN10" s="428">
        <f>AN7-Inputs!$E$13</f>
        <v>29</v>
      </c>
      <c r="AO10" s="428">
        <f>AO7-Inputs!$E$13</f>
        <v>30</v>
      </c>
      <c r="AP10" s="428">
        <f>AP7-Inputs!$E$13</f>
        <v>31</v>
      </c>
      <c r="AQ10" s="428">
        <f>AQ7-Inputs!$E$13</f>
        <v>32</v>
      </c>
      <c r="AR10" s="428">
        <f>AR7-Inputs!$E$13</f>
        <v>33</v>
      </c>
    </row>
    <row r="11" spans="1:44" x14ac:dyDescent="0.2">
      <c r="A11" s="380"/>
      <c r="B11" s="380" t="s">
        <v>240</v>
      </c>
      <c r="C11" s="11" t="s">
        <v>238</v>
      </c>
      <c r="D11" s="380"/>
      <c r="E11" s="380"/>
      <c r="F11" s="380">
        <f>IF(AND(F7&gt;=Inputs!$E$17,F7&lt;Inputs!$E$26),1,0)</f>
        <v>0</v>
      </c>
      <c r="G11" s="380">
        <f>IF(AND(G7&gt;=Inputs!$E$17,G7&lt;Inputs!$E$26),1,0)</f>
        <v>0</v>
      </c>
      <c r="H11" s="380">
        <f>IF(AND(H7&gt;=Inputs!$E$17,H7&lt;Inputs!$E$26),1,0)</f>
        <v>0</v>
      </c>
      <c r="I11" s="380">
        <f>IF(AND(I7&gt;=Inputs!$E$17,I7&lt;Inputs!$E$26),1,0)</f>
        <v>0</v>
      </c>
      <c r="J11" s="380">
        <f>IF(AND(J7&gt;=Inputs!$E$17,J7&lt;Inputs!$E$26),1,0)</f>
        <v>0</v>
      </c>
      <c r="K11" s="380">
        <f>IF(AND(K7&gt;=Inputs!$E$17,K7&lt;Inputs!$E$26),1,0)</f>
        <v>0</v>
      </c>
      <c r="L11" s="380">
        <f>IF(AND(L7&gt;=Inputs!$E$17,L7&lt;Inputs!$E$26),1,0)</f>
        <v>0</v>
      </c>
      <c r="M11" s="380">
        <f>IF(AND(M7&gt;=Inputs!$E$17,M7&lt;Inputs!$E$26),1,0)</f>
        <v>0</v>
      </c>
      <c r="N11" s="380">
        <f>IF(AND(N7&gt;=Inputs!$E$17,N7&lt;Inputs!$E$26),1,0)</f>
        <v>0</v>
      </c>
      <c r="O11" s="380">
        <f>IF(AND(O7&gt;=Inputs!$E$17,O7&lt;Inputs!$E$26),1,0)</f>
        <v>1</v>
      </c>
      <c r="P11" s="380">
        <f>IF(AND(P7&gt;=Inputs!$E$17,P7&lt;Inputs!$E$26),1,0)</f>
        <v>1</v>
      </c>
      <c r="Q11" s="380">
        <f>IF(AND(Q7&gt;=Inputs!$E$17,Q7&lt;Inputs!$E$26),1,0)</f>
        <v>1</v>
      </c>
      <c r="R11" s="380">
        <f>IF(AND(R7&gt;=Inputs!$E$17,R7&lt;Inputs!$E$26),1,0)</f>
        <v>1</v>
      </c>
      <c r="S11" s="380">
        <f>IF(AND(S7&gt;=Inputs!$E$17,S7&lt;Inputs!$E$26),1,0)</f>
        <v>1</v>
      </c>
      <c r="T11" s="380">
        <f>IF(AND(T7&gt;=Inputs!$E$17,T7&lt;Inputs!$E$26),1,0)</f>
        <v>1</v>
      </c>
      <c r="U11" s="380">
        <f>IF(AND(U7&gt;=Inputs!$E$17,U7&lt;Inputs!$E$26),1,0)</f>
        <v>1</v>
      </c>
      <c r="V11" s="380">
        <f>IF(AND(V7&gt;=Inputs!$E$17,V7&lt;Inputs!$E$26),1,0)</f>
        <v>1</v>
      </c>
      <c r="W11" s="380">
        <f>IF(AND(W7&gt;=Inputs!$E$17,W7&lt;Inputs!$E$26),1,0)</f>
        <v>1</v>
      </c>
      <c r="X11" s="380">
        <f>IF(AND(X7&gt;=Inputs!$E$17,X7&lt;Inputs!$E$26),1,0)</f>
        <v>1</v>
      </c>
      <c r="Y11" s="380">
        <f>IF(AND(Y7&gt;=Inputs!$E$17,Y7&lt;Inputs!$E$26),1,0)</f>
        <v>1</v>
      </c>
      <c r="Z11" s="380">
        <f>IF(AND(Z7&gt;=Inputs!$E$17,Z7&lt;Inputs!$E$26),1,0)</f>
        <v>1</v>
      </c>
      <c r="AA11" s="380">
        <f>IF(AND(AA7&gt;=Inputs!$E$17,AA7&lt;Inputs!$E$26),1,0)</f>
        <v>1</v>
      </c>
      <c r="AB11" s="380">
        <f>IF(AND(AB7&gt;=Inputs!$E$17,AB7&lt;Inputs!$E$26),1,0)</f>
        <v>1</v>
      </c>
      <c r="AC11" s="380">
        <f>IF(AND(AC7&gt;=Inputs!$E$17,AC7&lt;Inputs!$E$26),1,0)</f>
        <v>1</v>
      </c>
      <c r="AD11" s="380">
        <f>IF(AND(AD7&gt;=Inputs!$E$17,AD7&lt;Inputs!$E$26),1,0)</f>
        <v>1</v>
      </c>
      <c r="AE11" s="380">
        <f>IF(AND(AE7&gt;=Inputs!$E$17,AE7&lt;Inputs!$E$26),1,0)</f>
        <v>1</v>
      </c>
      <c r="AF11" s="380">
        <f>IF(AND(AF7&gt;=Inputs!$E$17,AF7&lt;Inputs!$E$26),1,0)</f>
        <v>1</v>
      </c>
      <c r="AG11" s="380">
        <f>IF(AND(AG7&gt;=Inputs!$E$17,AG7&lt;Inputs!$E$26),1,0)</f>
        <v>1</v>
      </c>
      <c r="AH11" s="380">
        <f>IF(AND(AH7&gt;=Inputs!$E$17,AH7&lt;Inputs!$E$26),1,0)</f>
        <v>1</v>
      </c>
      <c r="AI11" s="380">
        <f>IF(AND(AI7&gt;=Inputs!$E$17,AI7&lt;Inputs!$E$26),1,0)</f>
        <v>0</v>
      </c>
      <c r="AJ11" s="380">
        <f>IF(AND(AJ7&gt;=Inputs!$E$17,AJ7&lt;Inputs!$E$26),1,0)</f>
        <v>0</v>
      </c>
      <c r="AK11" s="380">
        <f>IF(AND(AK7&gt;=Inputs!$E$17,AK7&lt;Inputs!$E$26),1,0)</f>
        <v>0</v>
      </c>
      <c r="AL11" s="380">
        <f>IF(AND(AL7&gt;=Inputs!$E$17,AL7&lt;Inputs!$E$26),1,0)</f>
        <v>0</v>
      </c>
      <c r="AM11" s="380">
        <f>IF(AND(AM7&gt;=Inputs!$E$17,AM7&lt;Inputs!$E$26),1,0)</f>
        <v>0</v>
      </c>
      <c r="AN11" s="380">
        <f>IF(AND(AN7&gt;=Inputs!$E$17,AN7&lt;Inputs!$E$26),1,0)</f>
        <v>0</v>
      </c>
      <c r="AO11" s="380">
        <f>IF(AND(AO7&gt;=Inputs!$E$17,AO7&lt;Inputs!$E$26),1,0)</f>
        <v>0</v>
      </c>
      <c r="AP11" s="380">
        <f>IF(AND(AP7&gt;=Inputs!$E$17,AP7&lt;Inputs!$E$26),1,0)</f>
        <v>0</v>
      </c>
      <c r="AQ11" s="380">
        <f>IF(AND(AQ7&gt;=Inputs!$E$17,AQ7&lt;Inputs!$E$26),1,0)</f>
        <v>0</v>
      </c>
      <c r="AR11" s="380">
        <f>IF(AND(AR7&gt;=Inputs!$E$17,AR7&lt;Inputs!$E$26),1,0)</f>
        <v>0</v>
      </c>
    </row>
    <row r="12" spans="1:44" ht="15" x14ac:dyDescent="0.25">
      <c r="A12" s="2" t="s">
        <v>241</v>
      </c>
      <c r="B12" s="380"/>
      <c r="C12" s="11"/>
      <c r="D12" s="380"/>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80"/>
      <c r="AI12" s="380"/>
      <c r="AJ12" s="380"/>
      <c r="AK12" s="380"/>
      <c r="AL12" s="380"/>
      <c r="AM12" s="380"/>
      <c r="AN12" s="380"/>
      <c r="AO12" s="380"/>
      <c r="AP12" s="380"/>
      <c r="AQ12" s="380"/>
      <c r="AR12" s="380"/>
    </row>
    <row r="13" spans="1:44" x14ac:dyDescent="0.2">
      <c r="A13" s="380"/>
      <c r="B13" s="380" t="s">
        <v>242</v>
      </c>
      <c r="C13" s="11" t="s">
        <v>54</v>
      </c>
      <c r="D13" s="380"/>
      <c r="E13" s="380"/>
      <c r="F13" s="380">
        <f>(F11+D13)*F11</f>
        <v>0</v>
      </c>
      <c r="G13" s="380">
        <f t="shared" ref="G13:AG13" si="4">(G11+F13)*G11</f>
        <v>0</v>
      </c>
      <c r="H13" s="380">
        <f t="shared" si="4"/>
        <v>0</v>
      </c>
      <c r="I13" s="380">
        <f t="shared" si="4"/>
        <v>0</v>
      </c>
      <c r="J13" s="380">
        <f t="shared" si="4"/>
        <v>0</v>
      </c>
      <c r="K13" s="380">
        <f t="shared" si="4"/>
        <v>0</v>
      </c>
      <c r="L13" s="380">
        <f t="shared" si="4"/>
        <v>0</v>
      </c>
      <c r="M13" s="380">
        <f t="shared" si="4"/>
        <v>0</v>
      </c>
      <c r="N13" s="380">
        <f t="shared" si="4"/>
        <v>0</v>
      </c>
      <c r="O13" s="380">
        <f t="shared" si="4"/>
        <v>1</v>
      </c>
      <c r="P13" s="380">
        <f t="shared" si="4"/>
        <v>2</v>
      </c>
      <c r="Q13" s="380">
        <f t="shared" si="4"/>
        <v>3</v>
      </c>
      <c r="R13" s="380">
        <f t="shared" si="4"/>
        <v>4</v>
      </c>
      <c r="S13" s="380">
        <f t="shared" si="4"/>
        <v>5</v>
      </c>
      <c r="T13" s="380">
        <f t="shared" si="4"/>
        <v>6</v>
      </c>
      <c r="U13" s="380">
        <f t="shared" si="4"/>
        <v>7</v>
      </c>
      <c r="V13" s="380">
        <f t="shared" si="4"/>
        <v>8</v>
      </c>
      <c r="W13" s="380">
        <f t="shared" si="4"/>
        <v>9</v>
      </c>
      <c r="X13" s="380">
        <f t="shared" si="4"/>
        <v>10</v>
      </c>
      <c r="Y13" s="380">
        <f t="shared" si="4"/>
        <v>11</v>
      </c>
      <c r="Z13" s="380">
        <f t="shared" si="4"/>
        <v>12</v>
      </c>
      <c r="AA13" s="380">
        <f t="shared" si="4"/>
        <v>13</v>
      </c>
      <c r="AB13" s="380">
        <f t="shared" si="4"/>
        <v>14</v>
      </c>
      <c r="AC13" s="380">
        <f t="shared" si="4"/>
        <v>15</v>
      </c>
      <c r="AD13" s="380">
        <f t="shared" si="4"/>
        <v>16</v>
      </c>
      <c r="AE13" s="380">
        <f t="shared" si="4"/>
        <v>17</v>
      </c>
      <c r="AF13" s="380">
        <f t="shared" si="4"/>
        <v>18</v>
      </c>
      <c r="AG13" s="380">
        <f t="shared" si="4"/>
        <v>19</v>
      </c>
      <c r="AH13" s="380">
        <f>(AH11+AG13)*AH11</f>
        <v>20</v>
      </c>
      <c r="AI13" s="380">
        <f t="shared" ref="AI13:AR13" si="5">(AI11+AH13)*AI11</f>
        <v>0</v>
      </c>
      <c r="AJ13" s="380">
        <f t="shared" si="5"/>
        <v>0</v>
      </c>
      <c r="AK13" s="380">
        <f t="shared" si="5"/>
        <v>0</v>
      </c>
      <c r="AL13" s="380">
        <f t="shared" si="5"/>
        <v>0</v>
      </c>
      <c r="AM13" s="380">
        <f t="shared" si="5"/>
        <v>0</v>
      </c>
      <c r="AN13" s="380">
        <f t="shared" si="5"/>
        <v>0</v>
      </c>
      <c r="AO13" s="380">
        <f t="shared" si="5"/>
        <v>0</v>
      </c>
      <c r="AP13" s="380">
        <f t="shared" si="5"/>
        <v>0</v>
      </c>
      <c r="AQ13" s="380">
        <f t="shared" si="5"/>
        <v>0</v>
      </c>
      <c r="AR13" s="380">
        <f t="shared" si="5"/>
        <v>0</v>
      </c>
    </row>
    <row r="14" spans="1:44" ht="15" x14ac:dyDescent="0.25">
      <c r="A14" s="2" t="s">
        <v>9</v>
      </c>
      <c r="B14" s="380"/>
      <c r="C14" s="11"/>
      <c r="D14" s="380"/>
      <c r="E14" s="380"/>
      <c r="F14" s="380"/>
      <c r="G14" s="380"/>
      <c r="H14" s="380"/>
      <c r="I14" s="380"/>
      <c r="J14" s="380"/>
      <c r="K14" s="380"/>
      <c r="L14" s="380"/>
      <c r="M14" s="380"/>
      <c r="N14" s="380"/>
      <c r="O14" s="380"/>
      <c r="P14" s="380"/>
      <c r="Q14" s="380"/>
      <c r="R14" s="380"/>
      <c r="S14" s="380"/>
      <c r="T14" s="380"/>
      <c r="U14" s="380"/>
      <c r="V14" s="380"/>
      <c r="W14" s="380"/>
      <c r="X14" s="380"/>
      <c r="Y14" s="380"/>
      <c r="Z14" s="380"/>
      <c r="AA14" s="380"/>
      <c r="AB14" s="380"/>
      <c r="AC14" s="380"/>
      <c r="AD14" s="380"/>
      <c r="AE14" s="380"/>
      <c r="AF14" s="380"/>
      <c r="AG14" s="380"/>
      <c r="AH14" s="380"/>
      <c r="AI14" s="380"/>
      <c r="AJ14" s="380"/>
      <c r="AK14" s="380"/>
      <c r="AL14" s="380"/>
      <c r="AM14" s="380"/>
      <c r="AN14" s="380"/>
      <c r="AO14" s="380"/>
      <c r="AP14" s="380"/>
      <c r="AQ14" s="380"/>
      <c r="AR14" s="380"/>
    </row>
    <row r="15" spans="1:44" x14ac:dyDescent="0.2">
      <c r="A15" s="380"/>
      <c r="B15" s="380" t="s">
        <v>75</v>
      </c>
      <c r="C15" s="11" t="s">
        <v>54</v>
      </c>
      <c r="D15" s="445">
        <f>Inputs!E29</f>
        <v>0</v>
      </c>
      <c r="E15" s="445"/>
      <c r="F15" s="446">
        <f t="shared" ref="F15:L15" si="6">1/(1+$D15)^(F$10)</f>
        <v>1</v>
      </c>
      <c r="G15" s="446">
        <f t="shared" si="6"/>
        <v>1</v>
      </c>
      <c r="H15" s="446">
        <f t="shared" si="6"/>
        <v>1</v>
      </c>
      <c r="I15" s="446">
        <f t="shared" si="6"/>
        <v>1</v>
      </c>
      <c r="J15" s="446">
        <f t="shared" si="6"/>
        <v>1</v>
      </c>
      <c r="K15" s="446">
        <f t="shared" si="6"/>
        <v>1</v>
      </c>
      <c r="L15" s="446">
        <f t="shared" si="6"/>
        <v>1</v>
      </c>
      <c r="M15" s="446">
        <f>1/(1+$D15)^(M$10)</f>
        <v>1</v>
      </c>
      <c r="N15" s="446">
        <f t="shared" ref="N15:AR15" si="7">1/(1+$D15)^(N$10)</f>
        <v>1</v>
      </c>
      <c r="O15" s="446">
        <f t="shared" si="7"/>
        <v>1</v>
      </c>
      <c r="P15" s="446">
        <f t="shared" si="7"/>
        <v>1</v>
      </c>
      <c r="Q15" s="446">
        <f t="shared" si="7"/>
        <v>1</v>
      </c>
      <c r="R15" s="446">
        <f t="shared" si="7"/>
        <v>1</v>
      </c>
      <c r="S15" s="446">
        <f t="shared" si="7"/>
        <v>1</v>
      </c>
      <c r="T15" s="446">
        <f t="shared" si="7"/>
        <v>1</v>
      </c>
      <c r="U15" s="446">
        <f t="shared" si="7"/>
        <v>1</v>
      </c>
      <c r="V15" s="446">
        <f t="shared" si="7"/>
        <v>1</v>
      </c>
      <c r="W15" s="446">
        <f t="shared" si="7"/>
        <v>1</v>
      </c>
      <c r="X15" s="446">
        <f t="shared" si="7"/>
        <v>1</v>
      </c>
      <c r="Y15" s="446">
        <f t="shared" si="7"/>
        <v>1</v>
      </c>
      <c r="Z15" s="446">
        <f t="shared" si="7"/>
        <v>1</v>
      </c>
      <c r="AA15" s="446">
        <f t="shared" si="7"/>
        <v>1</v>
      </c>
      <c r="AB15" s="446">
        <f t="shared" si="7"/>
        <v>1</v>
      </c>
      <c r="AC15" s="446">
        <f t="shared" si="7"/>
        <v>1</v>
      </c>
      <c r="AD15" s="446">
        <f t="shared" si="7"/>
        <v>1</v>
      </c>
      <c r="AE15" s="446">
        <f t="shared" si="7"/>
        <v>1</v>
      </c>
      <c r="AF15" s="446">
        <f t="shared" si="7"/>
        <v>1</v>
      </c>
      <c r="AG15" s="446">
        <f t="shared" si="7"/>
        <v>1</v>
      </c>
      <c r="AH15" s="446">
        <f t="shared" si="7"/>
        <v>1</v>
      </c>
      <c r="AI15" s="446">
        <f t="shared" si="7"/>
        <v>1</v>
      </c>
      <c r="AJ15" s="446">
        <f t="shared" si="7"/>
        <v>1</v>
      </c>
      <c r="AK15" s="446">
        <f t="shared" si="7"/>
        <v>1</v>
      </c>
      <c r="AL15" s="446">
        <f t="shared" si="7"/>
        <v>1</v>
      </c>
      <c r="AM15" s="446">
        <f t="shared" si="7"/>
        <v>1</v>
      </c>
      <c r="AN15" s="446">
        <f t="shared" si="7"/>
        <v>1</v>
      </c>
      <c r="AO15" s="446">
        <f t="shared" si="7"/>
        <v>1</v>
      </c>
      <c r="AP15" s="446">
        <f t="shared" si="7"/>
        <v>1</v>
      </c>
      <c r="AQ15" s="446">
        <f t="shared" si="7"/>
        <v>1</v>
      </c>
      <c r="AR15" s="446">
        <f t="shared" si="7"/>
        <v>1</v>
      </c>
    </row>
    <row r="16" spans="1:44" x14ac:dyDescent="0.2">
      <c r="A16" s="380"/>
      <c r="B16" s="380" t="str">
        <f>Inputs!$C$30</f>
        <v>2% Discount Factor</v>
      </c>
      <c r="C16" s="11" t="s">
        <v>54</v>
      </c>
      <c r="D16" s="445">
        <f>Inputs!E30</f>
        <v>0.02</v>
      </c>
      <c r="E16" s="445"/>
      <c r="F16" s="446">
        <f t="shared" ref="F16:L16" si="8">MIN(1,IF(F10=0,1,1/(1+$D16)^(F$10)))</f>
        <v>1</v>
      </c>
      <c r="G16" s="446">
        <f t="shared" si="8"/>
        <v>1</v>
      </c>
      <c r="H16" s="446">
        <f t="shared" si="8"/>
        <v>1</v>
      </c>
      <c r="I16" s="446">
        <f t="shared" si="8"/>
        <v>1</v>
      </c>
      <c r="J16" s="446">
        <f t="shared" si="8"/>
        <v>1</v>
      </c>
      <c r="K16" s="446">
        <f t="shared" si="8"/>
        <v>1</v>
      </c>
      <c r="L16" s="446">
        <f t="shared" si="8"/>
        <v>0.98039215686274506</v>
      </c>
      <c r="M16" s="446">
        <f>MIN(1,IF(M10=0,1,1/(1+$D16)^(M$10)))</f>
        <v>0.96116878123798544</v>
      </c>
      <c r="N16" s="446">
        <f t="shared" ref="N16:AR16" si="9">MIN(1,IF(N10=0,1,1/(1+$D16)^(N$10)))</f>
        <v>0.94232233454704462</v>
      </c>
      <c r="O16" s="446">
        <f t="shared" si="9"/>
        <v>0.9238454260265142</v>
      </c>
      <c r="P16" s="446">
        <f t="shared" si="9"/>
        <v>0.90573080982991594</v>
      </c>
      <c r="Q16" s="446">
        <f t="shared" si="9"/>
        <v>0.88797138218619198</v>
      </c>
      <c r="R16" s="446">
        <f t="shared" si="9"/>
        <v>0.87056017861391388</v>
      </c>
      <c r="S16" s="446">
        <f t="shared" si="9"/>
        <v>0.85349037119011162</v>
      </c>
      <c r="T16" s="446">
        <f t="shared" si="9"/>
        <v>0.83675526587265847</v>
      </c>
      <c r="U16" s="446">
        <f t="shared" si="9"/>
        <v>0.82034829987515534</v>
      </c>
      <c r="V16" s="446">
        <f t="shared" si="9"/>
        <v>0.80426303909328967</v>
      </c>
      <c r="W16" s="446">
        <f t="shared" si="9"/>
        <v>0.78849317558165644</v>
      </c>
      <c r="X16" s="446">
        <f t="shared" si="9"/>
        <v>0.77303252508005538</v>
      </c>
      <c r="Y16" s="446">
        <f t="shared" si="9"/>
        <v>0.75787502458828948</v>
      </c>
      <c r="Z16" s="446">
        <f t="shared" si="9"/>
        <v>0.74301472998851925</v>
      </c>
      <c r="AA16" s="446">
        <f t="shared" si="9"/>
        <v>0.72844581371423445</v>
      </c>
      <c r="AB16" s="446">
        <f t="shared" si="9"/>
        <v>0.7141625624649357</v>
      </c>
      <c r="AC16" s="446">
        <f t="shared" si="9"/>
        <v>0.7001593749656233</v>
      </c>
      <c r="AD16" s="446">
        <f t="shared" si="9"/>
        <v>0.68643075977021895</v>
      </c>
      <c r="AE16" s="446">
        <f t="shared" si="9"/>
        <v>0.67297133310805779</v>
      </c>
      <c r="AF16" s="446">
        <f t="shared" si="9"/>
        <v>0.65977581677260566</v>
      </c>
      <c r="AG16" s="446">
        <f t="shared" si="9"/>
        <v>0.64683903605157411</v>
      </c>
      <c r="AH16" s="446">
        <f t="shared" si="9"/>
        <v>0.63415591769762181</v>
      </c>
      <c r="AI16" s="446">
        <f t="shared" si="9"/>
        <v>0.62172148793884485</v>
      </c>
      <c r="AJ16" s="446">
        <f t="shared" si="9"/>
        <v>0.60953087052827937</v>
      </c>
      <c r="AK16" s="446">
        <f t="shared" si="9"/>
        <v>0.59757928483164635</v>
      </c>
      <c r="AL16" s="446">
        <f t="shared" si="9"/>
        <v>0.58586204395259456</v>
      </c>
      <c r="AM16" s="446">
        <f t="shared" si="9"/>
        <v>0.57437455289470041</v>
      </c>
      <c r="AN16" s="446">
        <f t="shared" si="9"/>
        <v>0.56311230675951029</v>
      </c>
      <c r="AO16" s="446">
        <f t="shared" si="9"/>
        <v>0.55207088897991197</v>
      </c>
      <c r="AP16" s="446">
        <f t="shared" si="9"/>
        <v>0.54124596958814919</v>
      </c>
      <c r="AQ16" s="446">
        <f t="shared" si="9"/>
        <v>0.53063330351779314</v>
      </c>
      <c r="AR16" s="446">
        <f t="shared" si="9"/>
        <v>0.52022872893901284</v>
      </c>
    </row>
    <row r="17" spans="1:44" x14ac:dyDescent="0.2">
      <c r="A17" s="380"/>
      <c r="B17" s="380" t="str">
        <f>Inputs!$C$31</f>
        <v>3.1% Discount Factor</v>
      </c>
      <c r="C17" s="11" t="s">
        <v>54</v>
      </c>
      <c r="D17" s="445">
        <f>Inputs!E31</f>
        <v>3.1E-2</v>
      </c>
      <c r="E17" s="445"/>
      <c r="F17" s="446">
        <f t="shared" ref="F17:L17" si="10">MIN(1,IF(F10=0,1,1/(1+$D17)^(F$10)))</f>
        <v>1</v>
      </c>
      <c r="G17" s="446">
        <f t="shared" si="10"/>
        <v>1</v>
      </c>
      <c r="H17" s="446">
        <f t="shared" si="10"/>
        <v>1</v>
      </c>
      <c r="I17" s="446">
        <f t="shared" si="10"/>
        <v>1</v>
      </c>
      <c r="J17" s="446">
        <f t="shared" si="10"/>
        <v>1</v>
      </c>
      <c r="K17" s="446">
        <f t="shared" si="10"/>
        <v>1</v>
      </c>
      <c r="L17" s="446">
        <f t="shared" si="10"/>
        <v>0.96993210475266745</v>
      </c>
      <c r="M17" s="446">
        <f>MIN(1,IF(M10=0,1,1/(1+$D17)^(M$10)))</f>
        <v>0.94076828782993938</v>
      </c>
      <c r="N17" s="446">
        <f t="shared" ref="N17:AR17" si="11">MIN(1,IF(N10=0,1,1/(1+$D17)^(N$10)))</f>
        <v>0.91248136549945624</v>
      </c>
      <c r="O17" s="446">
        <f t="shared" si="11"/>
        <v>0.88504497138647553</v>
      </c>
      <c r="P17" s="446">
        <f t="shared" si="11"/>
        <v>0.85843353189764848</v>
      </c>
      <c r="Q17" s="446">
        <f t="shared" si="11"/>
        <v>0.83262224238375215</v>
      </c>
      <c r="R17" s="446">
        <f t="shared" si="11"/>
        <v>0.80758704401915837</v>
      </c>
      <c r="S17" s="446">
        <f t="shared" si="11"/>
        <v>0.78330460137648728</v>
      </c>
      <c r="T17" s="446">
        <f t="shared" si="11"/>
        <v>0.75975228067554545</v>
      </c>
      <c r="U17" s="446">
        <f t="shared" si="11"/>
        <v>0.73690812868627109</v>
      </c>
      <c r="V17" s="446">
        <f t="shared" si="11"/>
        <v>0.71475085226602442</v>
      </c>
      <c r="W17" s="446">
        <f t="shared" si="11"/>
        <v>0.69325979851214781</v>
      </c>
      <c r="X17" s="446">
        <f t="shared" si="11"/>
        <v>0.67241493551129761</v>
      </c>
      <c r="Y17" s="446">
        <f t="shared" si="11"/>
        <v>0.65219683366760206</v>
      </c>
      <c r="Z17" s="446">
        <f t="shared" si="11"/>
        <v>0.63258664759224259</v>
      </c>
      <c r="AA17" s="446">
        <f t="shared" si="11"/>
        <v>0.6135660985375776</v>
      </c>
      <c r="AB17" s="446">
        <f t="shared" si="11"/>
        <v>0.59511745735943511</v>
      </c>
      <c r="AC17" s="446">
        <f t="shared" si="11"/>
        <v>0.57722352799169274</v>
      </c>
      <c r="AD17" s="446">
        <f t="shared" si="11"/>
        <v>0.55986763141774276</v>
      </c>
      <c r="AE17" s="446">
        <f t="shared" si="11"/>
        <v>0.54303359012390184</v>
      </c>
      <c r="AF17" s="446">
        <f t="shared" si="11"/>
        <v>0.52670571302027336</v>
      </c>
      <c r="AG17" s="446">
        <f t="shared" si="11"/>
        <v>0.51086878081500819</v>
      </c>
      <c r="AH17" s="446">
        <f t="shared" si="11"/>
        <v>0.49550803182832992</v>
      </c>
      <c r="AI17" s="446">
        <f t="shared" si="11"/>
        <v>0.4806091482331038</v>
      </c>
      <c r="AJ17" s="446">
        <f t="shared" si="11"/>
        <v>0.46615824270912104</v>
      </c>
      <c r="AK17" s="446">
        <f t="shared" si="11"/>
        <v>0.4521418454986626</v>
      </c>
      <c r="AL17" s="446">
        <f t="shared" si="11"/>
        <v>0.4385468918512731</v>
      </c>
      <c r="AM17" s="446">
        <f t="shared" si="11"/>
        <v>0.42536070984604568</v>
      </c>
      <c r="AN17" s="446">
        <f t="shared" si="11"/>
        <v>0.41257100858006374</v>
      </c>
      <c r="AO17" s="446">
        <f t="shared" si="11"/>
        <v>0.400165866711992</v>
      </c>
      <c r="AP17" s="446">
        <f t="shared" si="11"/>
        <v>0.38813372135013779</v>
      </c>
      <c r="AQ17" s="446">
        <f t="shared" si="11"/>
        <v>0.37646335727462438</v>
      </c>
      <c r="AR17" s="446">
        <f t="shared" si="11"/>
        <v>0.36514389648363188</v>
      </c>
    </row>
    <row r="18" spans="1:44" x14ac:dyDescent="0.2">
      <c r="A18" s="380"/>
      <c r="B18" s="380"/>
      <c r="C18" s="10"/>
      <c r="D18" s="380"/>
      <c r="E18" s="380"/>
      <c r="F18" s="380"/>
      <c r="G18" s="380"/>
      <c r="H18" s="380"/>
      <c r="I18" s="380"/>
      <c r="J18" s="380"/>
      <c r="K18" s="380"/>
      <c r="L18" s="380"/>
      <c r="M18" s="380"/>
      <c r="N18" s="380"/>
      <c r="O18" s="380"/>
      <c r="P18" s="380"/>
      <c r="Q18" s="380"/>
      <c r="R18" s="380"/>
      <c r="S18" s="380"/>
      <c r="T18" s="380"/>
      <c r="U18" s="380"/>
      <c r="V18" s="380"/>
      <c r="W18" s="380"/>
      <c r="X18" s="380"/>
      <c r="Y18" s="380"/>
      <c r="Z18" s="380"/>
      <c r="AA18" s="380"/>
      <c r="AB18" s="380"/>
      <c r="AC18" s="380"/>
      <c r="AD18" s="380"/>
      <c r="AE18" s="380"/>
      <c r="AF18" s="380"/>
      <c r="AG18" s="380"/>
      <c r="AH18" s="380"/>
      <c r="AI18" s="380"/>
      <c r="AJ18" s="380"/>
      <c r="AK18" s="380"/>
      <c r="AL18" s="380"/>
      <c r="AM18" s="380"/>
      <c r="AN18" s="380"/>
      <c r="AO18" s="380"/>
      <c r="AP18" s="380"/>
      <c r="AQ18" s="380"/>
      <c r="AR18" s="380"/>
    </row>
    <row r="19" spans="1:44" x14ac:dyDescent="0.2">
      <c r="A19" s="380"/>
      <c r="B19" s="380" t="s">
        <v>243</v>
      </c>
      <c r="C19" s="380" t="s">
        <v>48</v>
      </c>
      <c r="D19" s="380" t="s">
        <v>49</v>
      </c>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0"/>
      <c r="AJ19" s="380"/>
      <c r="AK19" s="380"/>
      <c r="AL19" s="380"/>
      <c r="AM19" s="380"/>
      <c r="AN19" s="380"/>
      <c r="AO19" s="380"/>
      <c r="AP19" s="380"/>
      <c r="AQ19" s="380"/>
      <c r="AR19" s="380"/>
    </row>
    <row r="20" spans="1:44" s="4" customFormat="1" x14ac:dyDescent="0.2">
      <c r="A20" s="449" t="s">
        <v>244</v>
      </c>
      <c r="B20" s="450"/>
      <c r="C20" s="450"/>
      <c r="D20" s="450"/>
      <c r="E20" s="450"/>
      <c r="F20" s="450"/>
      <c r="G20" s="450"/>
      <c r="H20" s="450"/>
      <c r="I20" s="450"/>
      <c r="J20" s="450"/>
      <c r="K20" s="450"/>
      <c r="L20" s="450"/>
      <c r="M20" s="450"/>
      <c r="N20" s="450"/>
      <c r="O20" s="450"/>
      <c r="P20" s="450"/>
      <c r="Q20" s="450"/>
      <c r="R20" s="450"/>
      <c r="S20" s="450"/>
      <c r="T20" s="450"/>
      <c r="U20" s="450"/>
      <c r="V20" s="450"/>
      <c r="W20" s="450"/>
      <c r="X20" s="450"/>
      <c r="Y20" s="450"/>
      <c r="Z20" s="450"/>
      <c r="AA20" s="450"/>
      <c r="AB20" s="450"/>
      <c r="AC20" s="450"/>
      <c r="AD20" s="450"/>
      <c r="AE20" s="450"/>
      <c r="AF20" s="450"/>
      <c r="AG20" s="450"/>
      <c r="AH20" s="450"/>
      <c r="AI20" s="450"/>
      <c r="AJ20" s="450"/>
      <c r="AK20" s="450"/>
      <c r="AL20" s="450"/>
      <c r="AM20" s="450"/>
      <c r="AN20" s="450"/>
      <c r="AO20" s="450"/>
      <c r="AP20" s="450"/>
      <c r="AQ20" s="450"/>
      <c r="AR20" s="450"/>
    </row>
    <row r="21" spans="1:44" ht="15" x14ac:dyDescent="0.25">
      <c r="A21" s="2" t="s">
        <v>271</v>
      </c>
      <c r="B21" s="380"/>
      <c r="C21" s="11"/>
      <c r="D21" s="459"/>
      <c r="E21" s="380"/>
      <c r="F21" s="417"/>
      <c r="G21" s="417"/>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row>
    <row r="22" spans="1:44" ht="15" x14ac:dyDescent="0.25">
      <c r="A22" s="2"/>
      <c r="B22" s="380" t="s">
        <v>351</v>
      </c>
      <c r="C22" s="52"/>
      <c r="D22" s="440"/>
      <c r="E22" s="380"/>
      <c r="F22" s="417"/>
      <c r="G22" s="417"/>
      <c r="H22" s="417"/>
      <c r="I22" s="417"/>
      <c r="J22" s="417"/>
      <c r="K22" s="417"/>
      <c r="L22" s="417"/>
      <c r="M22" s="417"/>
      <c r="N22" s="417"/>
      <c r="O22" s="417"/>
      <c r="P22" s="417"/>
      <c r="Q22" s="417"/>
      <c r="R22" s="417"/>
      <c r="S22" s="417"/>
      <c r="T22" s="417"/>
      <c r="U22" s="417"/>
      <c r="V22" s="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row>
    <row r="23" spans="1:44" ht="15" x14ac:dyDescent="0.25">
      <c r="A23" s="2"/>
      <c r="B23" s="380" t="s">
        <v>352</v>
      </c>
      <c r="C23" s="52"/>
      <c r="D23" s="440"/>
      <c r="E23" s="380"/>
      <c r="F23" s="417"/>
      <c r="G23" s="417"/>
      <c r="H23" s="417"/>
      <c r="I23" s="417"/>
      <c r="J23" s="417"/>
      <c r="K23" s="417"/>
      <c r="L23" s="417"/>
      <c r="M23" s="417"/>
      <c r="N23" s="417"/>
      <c r="O23" s="417"/>
      <c r="P23" s="417"/>
      <c r="Q23" s="417"/>
      <c r="R23" s="417"/>
      <c r="S23" s="417"/>
      <c r="T23" s="417"/>
      <c r="U23" s="417"/>
      <c r="V23" s="417"/>
      <c r="W23" s="417"/>
      <c r="X23" s="417"/>
      <c r="Y23" s="417"/>
      <c r="Z23" s="417"/>
      <c r="AA23" s="417"/>
      <c r="AB23" s="417"/>
      <c r="AC23" s="417"/>
      <c r="AD23" s="417"/>
      <c r="AE23" s="417"/>
      <c r="AF23" s="417"/>
      <c r="AG23" s="417"/>
      <c r="AH23" s="417"/>
      <c r="AI23" s="417"/>
      <c r="AJ23" s="417"/>
      <c r="AK23" s="417"/>
      <c r="AL23" s="417"/>
      <c r="AM23" s="417"/>
      <c r="AN23" s="417"/>
      <c r="AO23" s="417"/>
      <c r="AP23" s="417"/>
      <c r="AQ23" s="417"/>
      <c r="AR23" s="417"/>
    </row>
    <row r="24" spans="1:44" ht="15" x14ac:dyDescent="0.25">
      <c r="A24" s="2"/>
      <c r="B24" s="380" t="s">
        <v>353</v>
      </c>
      <c r="C24" s="52"/>
      <c r="D24" s="440"/>
      <c r="E24" s="380"/>
      <c r="F24" s="417"/>
      <c r="G24" s="417"/>
      <c r="H24" s="417"/>
      <c r="I24" s="417"/>
      <c r="J24" s="417"/>
      <c r="K24" s="417"/>
      <c r="L24" s="417"/>
      <c r="M24" s="417"/>
      <c r="N24" s="417"/>
      <c r="O24" s="417"/>
      <c r="P24" s="417"/>
      <c r="Q24" s="417"/>
      <c r="R24" s="417"/>
      <c r="S24" s="417"/>
      <c r="T24" s="417"/>
      <c r="U24" s="417"/>
      <c r="V24" s="417"/>
      <c r="W24" s="417"/>
      <c r="X24" s="417"/>
      <c r="Y24" s="417"/>
      <c r="Z24" s="417"/>
      <c r="AA24" s="417"/>
      <c r="AB24" s="417"/>
      <c r="AC24" s="417"/>
      <c r="AD24" s="417"/>
      <c r="AE24" s="417"/>
      <c r="AF24" s="417"/>
      <c r="AG24" s="417"/>
      <c r="AH24" s="417"/>
      <c r="AI24" s="417"/>
      <c r="AJ24" s="417"/>
      <c r="AK24" s="417"/>
      <c r="AL24" s="417"/>
      <c r="AM24" s="417"/>
      <c r="AN24" s="417"/>
      <c r="AO24" s="417"/>
      <c r="AP24" s="417"/>
      <c r="AQ24" s="417"/>
      <c r="AR24" s="417"/>
    </row>
    <row r="25" spans="1:44" x14ac:dyDescent="0.2">
      <c r="A25" s="380"/>
      <c r="B25" s="380" t="s">
        <v>320</v>
      </c>
      <c r="C25" s="11" t="s">
        <v>310</v>
      </c>
      <c r="D25" s="440">
        <f>SUM(F25:AR25)</f>
        <v>0</v>
      </c>
      <c r="E25" s="380"/>
      <c r="F25" s="417">
        <v>0</v>
      </c>
      <c r="G25" s="417">
        <v>0</v>
      </c>
      <c r="H25" s="417">
        <v>0</v>
      </c>
      <c r="I25" s="417">
        <v>0</v>
      </c>
      <c r="J25" s="417">
        <v>0</v>
      </c>
      <c r="K25" s="417">
        <v>0</v>
      </c>
      <c r="L25" s="417">
        <v>0</v>
      </c>
      <c r="M25" s="417">
        <v>0</v>
      </c>
      <c r="N25" s="417">
        <v>0</v>
      </c>
      <c r="O25" s="417">
        <v>0</v>
      </c>
      <c r="P25" s="417">
        <v>0</v>
      </c>
      <c r="Q25" s="417">
        <v>0</v>
      </c>
      <c r="R25" s="417">
        <v>0</v>
      </c>
      <c r="S25" s="417">
        <v>0</v>
      </c>
      <c r="T25" s="417">
        <v>0</v>
      </c>
      <c r="U25" s="417">
        <v>0</v>
      </c>
      <c r="V25" s="417">
        <v>0</v>
      </c>
      <c r="W25" s="417">
        <v>0</v>
      </c>
      <c r="X25" s="417">
        <v>0</v>
      </c>
      <c r="Y25" s="417">
        <v>0</v>
      </c>
      <c r="Z25" s="417">
        <v>0</v>
      </c>
      <c r="AA25" s="417">
        <v>0</v>
      </c>
      <c r="AB25" s="417">
        <v>0</v>
      </c>
      <c r="AC25" s="417">
        <v>0</v>
      </c>
      <c r="AD25" s="417">
        <v>0</v>
      </c>
      <c r="AE25" s="417">
        <v>0</v>
      </c>
      <c r="AF25" s="417">
        <v>0</v>
      </c>
      <c r="AG25" s="417">
        <v>0</v>
      </c>
      <c r="AH25" s="417">
        <v>0</v>
      </c>
      <c r="AI25" s="417">
        <v>0</v>
      </c>
      <c r="AJ25" s="417">
        <v>0</v>
      </c>
      <c r="AK25" s="417">
        <v>0</v>
      </c>
      <c r="AL25" s="417">
        <v>0</v>
      </c>
      <c r="AM25" s="417">
        <v>0</v>
      </c>
      <c r="AN25" s="417">
        <v>0</v>
      </c>
      <c r="AO25" s="417">
        <v>0</v>
      </c>
      <c r="AP25" s="417">
        <v>0</v>
      </c>
      <c r="AQ25" s="417">
        <v>0</v>
      </c>
      <c r="AR25" s="417">
        <v>0</v>
      </c>
    </row>
    <row r="26" spans="1:44" x14ac:dyDescent="0.2">
      <c r="A26" s="380"/>
      <c r="B26" s="380"/>
      <c r="C26" s="7"/>
      <c r="D26" s="380"/>
      <c r="E26" s="380"/>
      <c r="F26" s="380"/>
      <c r="G26" s="380"/>
      <c r="H26" s="380"/>
      <c r="I26" s="380"/>
      <c r="J26" s="380"/>
      <c r="K26" s="380"/>
      <c r="L26" s="380"/>
      <c r="M26" s="380"/>
      <c r="N26" s="380"/>
      <c r="O26" s="380"/>
      <c r="P26" s="380"/>
      <c r="Q26" s="380"/>
      <c r="R26" s="380"/>
      <c r="S26" s="380"/>
      <c r="T26" s="380"/>
      <c r="U26" s="380"/>
      <c r="V26" s="380"/>
      <c r="W26" s="380"/>
      <c r="X26" s="380"/>
      <c r="Y26" s="380"/>
      <c r="Z26" s="380"/>
      <c r="AA26" s="380"/>
      <c r="AB26" s="380"/>
      <c r="AC26" s="380"/>
      <c r="AD26" s="380"/>
      <c r="AE26" s="380"/>
      <c r="AF26" s="380"/>
      <c r="AG26" s="380"/>
      <c r="AH26" s="380"/>
      <c r="AI26" s="380"/>
      <c r="AJ26" s="380"/>
      <c r="AK26" s="380"/>
      <c r="AL26" s="380"/>
      <c r="AM26" s="380"/>
      <c r="AN26" s="380"/>
      <c r="AO26" s="380"/>
      <c r="AP26" s="380"/>
      <c r="AQ26" s="380"/>
      <c r="AR26" s="380"/>
    </row>
    <row r="27" spans="1:44" s="4" customFormat="1" x14ac:dyDescent="0.2">
      <c r="A27" s="449" t="s">
        <v>255</v>
      </c>
      <c r="B27" s="8"/>
      <c r="C27" s="8"/>
      <c r="D27" s="450"/>
      <c r="E27" s="450"/>
      <c r="F27" s="450"/>
      <c r="G27" s="450"/>
      <c r="H27" s="450"/>
      <c r="I27" s="450"/>
      <c r="J27" s="450"/>
      <c r="K27" s="450"/>
      <c r="L27" s="450"/>
      <c r="M27" s="450"/>
      <c r="N27" s="450"/>
      <c r="O27" s="450"/>
      <c r="P27" s="450"/>
      <c r="Q27" s="450"/>
      <c r="R27" s="450"/>
      <c r="S27" s="450"/>
      <c r="T27" s="450"/>
      <c r="U27" s="450"/>
      <c r="V27" s="450"/>
      <c r="W27" s="450"/>
      <c r="X27" s="450"/>
      <c r="Y27" s="450"/>
      <c r="Z27" s="450"/>
      <c r="AA27" s="450"/>
      <c r="AB27" s="450"/>
      <c r="AC27" s="450"/>
      <c r="AD27" s="450"/>
      <c r="AE27" s="450"/>
      <c r="AF27" s="450"/>
      <c r="AG27" s="450"/>
      <c r="AH27" s="450"/>
      <c r="AI27" s="450"/>
      <c r="AJ27" s="450"/>
      <c r="AK27" s="450"/>
      <c r="AL27" s="450"/>
      <c r="AM27" s="450"/>
      <c r="AN27" s="450"/>
      <c r="AO27" s="450"/>
      <c r="AP27" s="450"/>
      <c r="AQ27" s="450"/>
      <c r="AR27" s="450"/>
    </row>
    <row r="28" spans="1:44" ht="15" x14ac:dyDescent="0.25">
      <c r="A28" s="2" t="s">
        <v>275</v>
      </c>
      <c r="B28" s="380"/>
      <c r="C28" s="11"/>
      <c r="D28" s="459"/>
      <c r="E28" s="380"/>
      <c r="F28" s="417"/>
      <c r="G28" s="417"/>
      <c r="H28" s="417"/>
      <c r="I28" s="417"/>
      <c r="J28" s="417"/>
      <c r="K28" s="417"/>
      <c r="L28" s="417"/>
      <c r="M28" s="417"/>
      <c r="N28" s="417"/>
      <c r="O28" s="417"/>
      <c r="P28" s="417"/>
      <c r="Q28" s="417"/>
      <c r="R28" s="417"/>
      <c r="S28" s="417"/>
      <c r="T28" s="417"/>
      <c r="U28" s="417"/>
      <c r="V28" s="417"/>
      <c r="W28" s="417"/>
      <c r="X28" s="417"/>
      <c r="Y28" s="417"/>
      <c r="Z28" s="417"/>
      <c r="AA28" s="417"/>
      <c r="AB28" s="417"/>
      <c r="AC28" s="417"/>
      <c r="AD28" s="417"/>
      <c r="AE28" s="417"/>
      <c r="AF28" s="417"/>
      <c r="AG28" s="417"/>
      <c r="AH28" s="417"/>
      <c r="AI28" s="417"/>
      <c r="AJ28" s="417"/>
      <c r="AK28" s="417"/>
      <c r="AL28" s="417"/>
      <c r="AM28" s="417"/>
      <c r="AN28" s="417"/>
      <c r="AO28" s="417"/>
      <c r="AP28" s="417"/>
      <c r="AQ28" s="417"/>
      <c r="AR28" s="417"/>
    </row>
    <row r="29" spans="1:44" ht="15" x14ac:dyDescent="0.25">
      <c r="A29" s="2"/>
      <c r="B29" s="380" t="str">
        <f>Traffic!$B$54</f>
        <v>Pedestrian Forecast</v>
      </c>
      <c r="C29" s="11" t="s">
        <v>196</v>
      </c>
      <c r="D29" s="459"/>
      <c r="E29" s="380"/>
      <c r="F29" s="417">
        <f>Traffic!F85</f>
        <v>66.680335831680836</v>
      </c>
      <c r="G29" s="417">
        <f>Traffic!G85</f>
        <v>67.040359895154836</v>
      </c>
      <c r="H29" s="417">
        <f>Traffic!H85</f>
        <v>67.402327819958614</v>
      </c>
      <c r="I29" s="417">
        <f>Traffic!I85</f>
        <v>67.766250101493057</v>
      </c>
      <c r="J29" s="417">
        <f>Traffic!J85</f>
        <v>68.132137291826353</v>
      </c>
      <c r="K29" s="417">
        <f>Traffic!K85</f>
        <v>68.500000000000014</v>
      </c>
      <c r="L29" s="417">
        <f>Traffic!L85</f>
        <v>68.869848892336449</v>
      </c>
      <c r="M29" s="417">
        <f>Traffic!M85</f>
        <v>69.241694692748254</v>
      </c>
      <c r="N29" s="417">
        <f>Traffic!N85</f>
        <v>69.615548183049142</v>
      </c>
      <c r="O29" s="417">
        <f>Traffic!O85</f>
        <v>110.04182020326657</v>
      </c>
      <c r="P29" s="417">
        <f>Traffic!P85</f>
        <v>131.02257165195607</v>
      </c>
      <c r="Q29" s="417">
        <f>Traffic!Q85</f>
        <v>152.39046348651726</v>
      </c>
      <c r="R29" s="417">
        <f>Traffic!R85</f>
        <v>153.54265672351153</v>
      </c>
      <c r="S29" s="417">
        <f>Traffic!S85</f>
        <v>154.69691243898143</v>
      </c>
      <c r="T29" s="417">
        <f>Traffic!T85</f>
        <v>155.85324176877197</v>
      </c>
      <c r="U29" s="417">
        <f>Traffic!U85</f>
        <v>157.01165590885333</v>
      </c>
      <c r="V29" s="417">
        <f>Traffic!V85</f>
        <v>158.17216611564561</v>
      </c>
      <c r="W29" s="417">
        <f>Traffic!W85</f>
        <v>159.33478370634521</v>
      </c>
      <c r="X29" s="417">
        <f>Traffic!X85</f>
        <v>160.49952005925286</v>
      </c>
      <c r="Y29" s="417">
        <f>Traffic!Y85</f>
        <v>161.66638661410374</v>
      </c>
      <c r="Z29" s="417">
        <f>Traffic!Z85</f>
        <v>162.83539487239898</v>
      </c>
      <c r="AA29" s="417">
        <f>Traffic!AA85</f>
        <v>164.00655639773925</v>
      </c>
      <c r="AB29" s="417">
        <f>Traffic!AB85</f>
        <v>165.17988281616005</v>
      </c>
      <c r="AC29" s="417">
        <f>Traffic!AC85</f>
        <v>166.35538581646875</v>
      </c>
      <c r="AD29" s="417">
        <f>Traffic!AD85</f>
        <v>167.53307715058372</v>
      </c>
      <c r="AE29" s="417">
        <f>Traffic!AE85</f>
        <v>168.71296863387471</v>
      </c>
      <c r="AF29" s="417">
        <f>Traffic!AF85</f>
        <v>169.89507214550576</v>
      </c>
      <c r="AG29" s="417">
        <f>Traffic!AG85</f>
        <v>171.07939962877953</v>
      </c>
      <c r="AH29" s="417">
        <f>Traffic!AH85</f>
        <v>172.26596309148363</v>
      </c>
      <c r="AI29" s="417">
        <f>Traffic!AI85</f>
        <v>173.45477460623863</v>
      </c>
      <c r="AJ29" s="417">
        <f>Traffic!AJ85</f>
        <v>174.64584631084844</v>
      </c>
      <c r="AK29" s="417">
        <f>Traffic!AK85</f>
        <v>175.83919040865189</v>
      </c>
      <c r="AL29" s="417">
        <f>Traffic!AL85</f>
        <v>177.03481916887682</v>
      </c>
      <c r="AM29" s="417">
        <f>Traffic!AM85</f>
        <v>178.23274492699574</v>
      </c>
      <c r="AN29" s="417">
        <f>Traffic!AN85</f>
        <v>179.43298008508344</v>
      </c>
      <c r="AO29" s="417">
        <f>Traffic!AO85</f>
        <v>180.63553711217679</v>
      </c>
      <c r="AP29" s="417">
        <f>Traffic!AP85</f>
        <v>181.84042854463604</v>
      </c>
      <c r="AQ29" s="417">
        <f>Traffic!AQ85</f>
        <v>183.04766698650843</v>
      </c>
      <c r="AR29" s="417">
        <f>Traffic!AR85</f>
        <v>184.25726510989381</v>
      </c>
    </row>
    <row r="30" spans="1:44" ht="15" x14ac:dyDescent="0.25">
      <c r="A30" s="2"/>
      <c r="B30" s="380" t="s">
        <v>354</v>
      </c>
      <c r="C30" s="11" t="s">
        <v>101</v>
      </c>
      <c r="D30" s="459">
        <f>Inputs!$E$44</f>
        <v>0.53030303030303028</v>
      </c>
      <c r="E30" s="380"/>
      <c r="F30" s="417"/>
      <c r="G30" s="417"/>
      <c r="H30" s="417"/>
      <c r="I30" s="417"/>
      <c r="J30" s="417"/>
      <c r="K30" s="417"/>
      <c r="L30" s="417"/>
      <c r="M30" s="417"/>
      <c r="N30" s="417"/>
      <c r="O30" s="417"/>
      <c r="P30" s="417"/>
      <c r="Q30" s="417"/>
      <c r="R30" s="417"/>
      <c r="S30" s="417"/>
      <c r="T30" s="417"/>
      <c r="U30" s="417"/>
      <c r="V30" s="417"/>
      <c r="W30" s="417"/>
      <c r="X30" s="417"/>
      <c r="Y30" s="417"/>
      <c r="Z30" s="417"/>
      <c r="AA30" s="417"/>
      <c r="AB30" s="417"/>
      <c r="AC30" s="417"/>
      <c r="AD30" s="417"/>
      <c r="AE30" s="417"/>
      <c r="AF30" s="417"/>
      <c r="AG30" s="417"/>
      <c r="AH30" s="417"/>
      <c r="AI30" s="417"/>
      <c r="AJ30" s="417"/>
      <c r="AK30" s="417"/>
      <c r="AL30" s="417"/>
      <c r="AM30" s="417"/>
      <c r="AN30" s="417"/>
      <c r="AO30" s="417"/>
      <c r="AP30" s="417"/>
      <c r="AQ30" s="417"/>
      <c r="AR30" s="417"/>
    </row>
    <row r="31" spans="1:44" ht="15" x14ac:dyDescent="0.25">
      <c r="A31" s="2"/>
      <c r="B31" s="380" t="s">
        <v>355</v>
      </c>
      <c r="C31" s="11" t="s">
        <v>356</v>
      </c>
      <c r="D31" s="459"/>
      <c r="E31" s="380"/>
      <c r="F31" s="417">
        <f t="shared" ref="F31:AR31" si="12">F29*$D$30</f>
        <v>35.360784153164076</v>
      </c>
      <c r="G31" s="417">
        <f t="shared" si="12"/>
        <v>35.551706005006352</v>
      </c>
      <c r="H31" s="417">
        <f t="shared" si="12"/>
        <v>35.743658692402292</v>
      </c>
      <c r="I31" s="417">
        <f t="shared" si="12"/>
        <v>35.936647781094798</v>
      </c>
      <c r="J31" s="417">
        <f t="shared" si="12"/>
        <v>36.130678866877609</v>
      </c>
      <c r="K31" s="417">
        <f t="shared" si="12"/>
        <v>36.325757575757578</v>
      </c>
      <c r="L31" s="417">
        <f t="shared" si="12"/>
        <v>36.521889564117814</v>
      </c>
      <c r="M31" s="417">
        <f t="shared" si="12"/>
        <v>36.719080518881647</v>
      </c>
      <c r="N31" s="417">
        <f t="shared" si="12"/>
        <v>36.917336157677575</v>
      </c>
      <c r="O31" s="417">
        <f t="shared" si="12"/>
        <v>58.355510713853477</v>
      </c>
      <c r="P31" s="417">
        <f t="shared" si="12"/>
        <v>69.481666785128212</v>
      </c>
      <c r="Q31" s="417">
        <f t="shared" si="12"/>
        <v>80.813124576183398</v>
      </c>
      <c r="R31" s="417">
        <f t="shared" si="12"/>
        <v>81.424136141256113</v>
      </c>
      <c r="S31" s="417">
        <f t="shared" si="12"/>
        <v>82.036241444914396</v>
      </c>
      <c r="T31" s="417">
        <f t="shared" si="12"/>
        <v>82.649446392530578</v>
      </c>
      <c r="U31" s="417">
        <f t="shared" si="12"/>
        <v>83.263756921361605</v>
      </c>
      <c r="V31" s="417">
        <f t="shared" si="12"/>
        <v>83.879179000721152</v>
      </c>
      <c r="W31" s="417">
        <f t="shared" si="12"/>
        <v>84.495718632152759</v>
      </c>
      <c r="X31" s="417">
        <f t="shared" si="12"/>
        <v>85.113381849603783</v>
      </c>
      <c r="Y31" s="417">
        <f t="shared" si="12"/>
        <v>85.732174719600465</v>
      </c>
      <c r="Z31" s="417">
        <f t="shared" si="12"/>
        <v>86.3521033414237</v>
      </c>
      <c r="AA31" s="417">
        <f t="shared" si="12"/>
        <v>86.973173847285963</v>
      </c>
      <c r="AB31" s="417">
        <f t="shared" si="12"/>
        <v>87.595392402509106</v>
      </c>
      <c r="AC31" s="417">
        <f t="shared" si="12"/>
        <v>88.218765205703122</v>
      </c>
      <c r="AD31" s="417">
        <f t="shared" si="12"/>
        <v>88.843298488945905</v>
      </c>
      <c r="AE31" s="417">
        <f t="shared" si="12"/>
        <v>89.468998517963854</v>
      </c>
      <c r="AF31" s="417">
        <f t="shared" si="12"/>
        <v>90.095871592313657</v>
      </c>
      <c r="AG31" s="417">
        <f t="shared" si="12"/>
        <v>90.7239240455649</v>
      </c>
      <c r="AH31" s="417">
        <f t="shared" si="12"/>
        <v>91.35316224548373</v>
      </c>
      <c r="AI31" s="417">
        <f t="shared" si="12"/>
        <v>91.983592594217455</v>
      </c>
      <c r="AJ31" s="417">
        <f t="shared" si="12"/>
        <v>92.615221528480234</v>
      </c>
      <c r="AK31" s="417">
        <f t="shared" si="12"/>
        <v>93.248055519739637</v>
      </c>
      <c r="AL31" s="417">
        <f t="shared" si="12"/>
        <v>93.882101074404375</v>
      </c>
      <c r="AM31" s="417">
        <f t="shared" si="12"/>
        <v>94.517364734012887</v>
      </c>
      <c r="AN31" s="417">
        <f t="shared" si="12"/>
        <v>95.153853075423029</v>
      </c>
      <c r="AO31" s="417">
        <f t="shared" si="12"/>
        <v>95.791572711002843</v>
      </c>
      <c r="AP31" s="417">
        <f t="shared" si="12"/>
        <v>96.430530288822141</v>
      </c>
      <c r="AQ31" s="417">
        <f t="shared" si="12"/>
        <v>97.07073249284538</v>
      </c>
      <c r="AR31" s="417">
        <f t="shared" si="12"/>
        <v>97.712186043125499</v>
      </c>
    </row>
    <row r="32" spans="1:44" ht="15" x14ac:dyDescent="0.25">
      <c r="A32" s="2" t="s">
        <v>357</v>
      </c>
      <c r="B32" s="380"/>
      <c r="C32" s="11"/>
      <c r="D32" s="459"/>
      <c r="E32" s="380"/>
      <c r="F32" s="417"/>
      <c r="G32" s="417"/>
      <c r="H32" s="417"/>
      <c r="I32" s="417"/>
      <c r="J32" s="417"/>
      <c r="K32" s="417"/>
      <c r="L32" s="417"/>
      <c r="M32" s="417"/>
      <c r="N32" s="417"/>
      <c r="O32" s="417"/>
      <c r="P32" s="417"/>
      <c r="Q32" s="417"/>
      <c r="R32" s="417"/>
      <c r="S32" s="417"/>
      <c r="T32" s="417"/>
      <c r="U32" s="417"/>
      <c r="V32" s="417"/>
      <c r="W32" s="417"/>
      <c r="X32" s="417"/>
      <c r="Y32" s="417"/>
      <c r="Z32" s="417"/>
      <c r="AA32" s="417"/>
      <c r="AB32" s="417"/>
      <c r="AC32" s="417"/>
      <c r="AD32" s="417"/>
      <c r="AE32" s="417"/>
      <c r="AF32" s="417"/>
      <c r="AG32" s="417"/>
      <c r="AH32" s="417"/>
      <c r="AI32" s="417"/>
      <c r="AJ32" s="417"/>
      <c r="AK32" s="417"/>
      <c r="AL32" s="417"/>
      <c r="AM32" s="417"/>
      <c r="AN32" s="417"/>
      <c r="AO32" s="417"/>
      <c r="AP32" s="417"/>
      <c r="AQ32" s="417"/>
      <c r="AR32" s="417"/>
    </row>
    <row r="33" spans="1:44" ht="15" x14ac:dyDescent="0.25">
      <c r="A33" s="2"/>
      <c r="B33" s="380" t="s">
        <v>94</v>
      </c>
      <c r="C33" s="11" t="s">
        <v>95</v>
      </c>
      <c r="D33" s="464">
        <f>Inputs!$E$41</f>
        <v>12</v>
      </c>
      <c r="E33" s="380"/>
      <c r="F33" s="417"/>
      <c r="G33" s="417"/>
      <c r="H33" s="417"/>
      <c r="I33" s="417"/>
      <c r="J33" s="417"/>
      <c r="K33" s="417"/>
      <c r="L33" s="417"/>
      <c r="M33" s="417"/>
      <c r="N33" s="417"/>
      <c r="O33" s="417"/>
      <c r="P33" s="417"/>
      <c r="Q33" s="417"/>
      <c r="R33" s="417"/>
      <c r="S33" s="417"/>
      <c r="T33" s="417"/>
      <c r="U33" s="417"/>
      <c r="V33" s="417"/>
      <c r="W33" s="417"/>
      <c r="X33" s="417"/>
      <c r="Y33" s="417"/>
      <c r="Z33" s="417"/>
      <c r="AA33" s="417"/>
      <c r="AB33" s="417"/>
      <c r="AC33" s="417"/>
      <c r="AD33" s="417"/>
      <c r="AE33" s="417"/>
      <c r="AF33" s="417"/>
      <c r="AG33" s="417"/>
      <c r="AH33" s="417"/>
      <c r="AI33" s="417"/>
      <c r="AJ33" s="417"/>
      <c r="AK33" s="417"/>
      <c r="AL33" s="417"/>
      <c r="AM33" s="417"/>
      <c r="AN33" s="417"/>
      <c r="AO33" s="417"/>
      <c r="AP33" s="417"/>
      <c r="AQ33" s="417"/>
      <c r="AR33" s="417"/>
    </row>
    <row r="34" spans="1:44" ht="15" x14ac:dyDescent="0.25">
      <c r="A34" s="2"/>
      <c r="B34" s="380" t="s">
        <v>358</v>
      </c>
      <c r="C34" s="11" t="s">
        <v>200</v>
      </c>
      <c r="D34" s="465">
        <f>Inputs!$E$150</f>
        <v>0.11</v>
      </c>
      <c r="E34" s="380"/>
      <c r="F34" s="417"/>
      <c r="G34" s="417"/>
      <c r="H34" s="417"/>
      <c r="I34" s="417"/>
      <c r="J34" s="417"/>
      <c r="K34" s="417"/>
      <c r="L34" s="417"/>
      <c r="M34" s="417"/>
      <c r="N34" s="417"/>
      <c r="O34" s="417"/>
      <c r="P34" s="417"/>
      <c r="Q34" s="417"/>
      <c r="R34" s="417"/>
      <c r="S34" s="417"/>
      <c r="T34" s="417"/>
      <c r="U34" s="417"/>
      <c r="V34" s="417"/>
      <c r="W34" s="417"/>
      <c r="X34" s="417"/>
      <c r="Y34" s="417"/>
      <c r="Z34" s="417"/>
      <c r="AA34" s="417"/>
      <c r="AB34" s="417"/>
      <c r="AC34" s="417"/>
      <c r="AD34" s="417"/>
      <c r="AE34" s="417"/>
      <c r="AF34" s="417"/>
      <c r="AG34" s="417"/>
      <c r="AH34" s="417"/>
      <c r="AI34" s="417"/>
      <c r="AJ34" s="417"/>
      <c r="AK34" s="417"/>
      <c r="AL34" s="417"/>
      <c r="AM34" s="417"/>
      <c r="AN34" s="417"/>
      <c r="AO34" s="417"/>
      <c r="AP34" s="417"/>
      <c r="AQ34" s="417"/>
      <c r="AR34" s="417"/>
    </row>
    <row r="35" spans="1:44" x14ac:dyDescent="0.2">
      <c r="A35" s="380"/>
      <c r="B35" s="380" t="s">
        <v>359</v>
      </c>
      <c r="C35" s="11" t="s">
        <v>318</v>
      </c>
      <c r="D35" s="426">
        <f>SUM(F35:AR35)</f>
        <v>3894.6359446388492</v>
      </c>
      <c r="E35" s="380"/>
      <c r="F35" s="417">
        <f t="shared" ref="F35:AR35" si="13">F31*$D$33*$D$34</f>
        <v>46.676235082176582</v>
      </c>
      <c r="G35" s="417">
        <f t="shared" si="13"/>
        <v>46.928251926608382</v>
      </c>
      <c r="H35" s="417">
        <f t="shared" si="13"/>
        <v>47.181629473971029</v>
      </c>
      <c r="I35" s="417">
        <f t="shared" si="13"/>
        <v>47.436375071045134</v>
      </c>
      <c r="J35" s="417">
        <f t="shared" si="13"/>
        <v>47.69249610427844</v>
      </c>
      <c r="K35" s="417">
        <f t="shared" si="13"/>
        <v>47.95</v>
      </c>
      <c r="L35" s="417">
        <f t="shared" si="13"/>
        <v>48.208894224635515</v>
      </c>
      <c r="M35" s="417">
        <f t="shared" si="13"/>
        <v>48.469186284923779</v>
      </c>
      <c r="N35" s="417">
        <f t="shared" si="13"/>
        <v>48.730883728134401</v>
      </c>
      <c r="O35" s="417">
        <f t="shared" si="13"/>
        <v>77.029274142286596</v>
      </c>
      <c r="P35" s="417">
        <f t="shared" si="13"/>
        <v>91.715800156369241</v>
      </c>
      <c r="Q35" s="417">
        <f t="shared" si="13"/>
        <v>106.6733244405621</v>
      </c>
      <c r="R35" s="417">
        <f t="shared" si="13"/>
        <v>107.47985970645807</v>
      </c>
      <c r="S35" s="417">
        <f t="shared" si="13"/>
        <v>108.28783870728701</v>
      </c>
      <c r="T35" s="417">
        <f t="shared" si="13"/>
        <v>109.09726923814036</v>
      </c>
      <c r="U35" s="417">
        <f t="shared" si="13"/>
        <v>109.90815913619731</v>
      </c>
      <c r="V35" s="417">
        <f t="shared" si="13"/>
        <v>110.72051628095193</v>
      </c>
      <c r="W35" s="417">
        <f t="shared" si="13"/>
        <v>111.53434859444164</v>
      </c>
      <c r="X35" s="417">
        <f t="shared" si="13"/>
        <v>112.34966404147698</v>
      </c>
      <c r="Y35" s="417">
        <f t="shared" si="13"/>
        <v>113.16647062987261</v>
      </c>
      <c r="Z35" s="417">
        <f t="shared" si="13"/>
        <v>113.98477641067929</v>
      </c>
      <c r="AA35" s="417">
        <f t="shared" si="13"/>
        <v>114.80458947841747</v>
      </c>
      <c r="AB35" s="417">
        <f t="shared" si="13"/>
        <v>115.62591797131202</v>
      </c>
      <c r="AC35" s="417">
        <f t="shared" si="13"/>
        <v>116.44877007152813</v>
      </c>
      <c r="AD35" s="417">
        <f t="shared" si="13"/>
        <v>117.2731540054086</v>
      </c>
      <c r="AE35" s="417">
        <f t="shared" si="13"/>
        <v>118.09907804371228</v>
      </c>
      <c r="AF35" s="417">
        <f t="shared" si="13"/>
        <v>118.92655050185404</v>
      </c>
      <c r="AG35" s="417">
        <f t="shared" si="13"/>
        <v>119.75557974014566</v>
      </c>
      <c r="AH35" s="417">
        <f t="shared" si="13"/>
        <v>120.58617416403851</v>
      </c>
      <c r="AI35" s="417">
        <f t="shared" si="13"/>
        <v>121.41834222436705</v>
      </c>
      <c r="AJ35" s="417">
        <f t="shared" si="13"/>
        <v>122.25209241759391</v>
      </c>
      <c r="AK35" s="417">
        <f t="shared" si="13"/>
        <v>123.08743328605632</v>
      </c>
      <c r="AL35" s="417">
        <f t="shared" si="13"/>
        <v>123.92437341821378</v>
      </c>
      <c r="AM35" s="417">
        <f t="shared" si="13"/>
        <v>124.76292144889702</v>
      </c>
      <c r="AN35" s="417">
        <f t="shared" si="13"/>
        <v>125.60308605955839</v>
      </c>
      <c r="AO35" s="417">
        <f t="shared" si="13"/>
        <v>126.44487597852374</v>
      </c>
      <c r="AP35" s="417">
        <f t="shared" si="13"/>
        <v>127.28829998124523</v>
      </c>
      <c r="AQ35" s="417">
        <f t="shared" si="13"/>
        <v>128.13336689055592</v>
      </c>
      <c r="AR35" s="417">
        <f t="shared" si="13"/>
        <v>128.98008557692566</v>
      </c>
    </row>
    <row r="36" spans="1:44" x14ac:dyDescent="0.2">
      <c r="A36" s="380"/>
      <c r="B36" s="380" t="s">
        <v>79</v>
      </c>
      <c r="C36" s="52" t="s">
        <v>80</v>
      </c>
      <c r="D36" s="440">
        <f>Inputs!$E$32</f>
        <v>365</v>
      </c>
      <c r="E36" s="380"/>
      <c r="F36" s="417"/>
      <c r="G36" s="417"/>
      <c r="H36" s="417"/>
      <c r="I36" s="417"/>
      <c r="J36" s="417"/>
      <c r="K36" s="417"/>
      <c r="L36" s="417"/>
      <c r="M36" s="417"/>
      <c r="N36" s="417"/>
      <c r="O36" s="417"/>
      <c r="P36" s="417"/>
      <c r="Q36" s="417"/>
      <c r="R36" s="417"/>
      <c r="S36" s="417"/>
      <c r="T36" s="417"/>
      <c r="U36" s="417"/>
      <c r="V36" s="417"/>
      <c r="W36" s="417"/>
      <c r="X36" s="417"/>
      <c r="Y36" s="417"/>
      <c r="Z36" s="417"/>
      <c r="AA36" s="417"/>
      <c r="AB36" s="417"/>
      <c r="AC36" s="417"/>
      <c r="AD36" s="417"/>
      <c r="AE36" s="417"/>
      <c r="AF36" s="417"/>
      <c r="AG36" s="417"/>
      <c r="AH36" s="417"/>
      <c r="AI36" s="417"/>
      <c r="AJ36" s="417"/>
      <c r="AK36" s="417"/>
      <c r="AL36" s="417"/>
      <c r="AM36" s="417"/>
      <c r="AN36" s="417"/>
      <c r="AO36" s="417"/>
      <c r="AP36" s="417"/>
      <c r="AQ36" s="417"/>
      <c r="AR36" s="417"/>
    </row>
    <row r="37" spans="1:44" x14ac:dyDescent="0.2">
      <c r="A37" s="380"/>
      <c r="B37" s="380" t="s">
        <v>359</v>
      </c>
      <c r="C37" s="11" t="s">
        <v>310</v>
      </c>
      <c r="D37" s="426">
        <f>SUM(F37:AR37)</f>
        <v>1421542.1197931801</v>
      </c>
      <c r="E37" s="380"/>
      <c r="F37" s="417">
        <f>F35*$D$36</f>
        <v>17036.825804994452</v>
      </c>
      <c r="G37" s="417">
        <f t="shared" ref="G37:AR37" si="14">G35*$D$36</f>
        <v>17128.811953212058</v>
      </c>
      <c r="H37" s="417">
        <f t="shared" si="14"/>
        <v>17221.294757999425</v>
      </c>
      <c r="I37" s="417">
        <f t="shared" si="14"/>
        <v>17314.276900931472</v>
      </c>
      <c r="J37" s="417">
        <f t="shared" si="14"/>
        <v>17407.761078061631</v>
      </c>
      <c r="K37" s="417">
        <f t="shared" si="14"/>
        <v>17501.75</v>
      </c>
      <c r="L37" s="417">
        <f t="shared" si="14"/>
        <v>17596.246391991961</v>
      </c>
      <c r="M37" s="417">
        <f t="shared" si="14"/>
        <v>17691.252993997179</v>
      </c>
      <c r="N37" s="417">
        <f t="shared" si="14"/>
        <v>17786.772560769055</v>
      </c>
      <c r="O37" s="417">
        <f t="shared" si="14"/>
        <v>28115.685061934608</v>
      </c>
      <c r="P37" s="417">
        <f t="shared" si="14"/>
        <v>33476.267057074772</v>
      </c>
      <c r="Q37" s="417">
        <f t="shared" si="14"/>
        <v>38935.763420805168</v>
      </c>
      <c r="R37" s="417">
        <f t="shared" si="14"/>
        <v>39230.148792857195</v>
      </c>
      <c r="S37" s="417">
        <f t="shared" si="14"/>
        <v>39525.061128159759</v>
      </c>
      <c r="T37" s="417">
        <f t="shared" si="14"/>
        <v>39820.503271921232</v>
      </c>
      <c r="U37" s="417">
        <f t="shared" si="14"/>
        <v>40116.47808471202</v>
      </c>
      <c r="V37" s="417">
        <f t="shared" si="14"/>
        <v>40412.988442547452</v>
      </c>
      <c r="W37" s="417">
        <f t="shared" si="14"/>
        <v>40710.037236971199</v>
      </c>
      <c r="X37" s="417">
        <f t="shared" si="14"/>
        <v>41007.627375139098</v>
      </c>
      <c r="Y37" s="417">
        <f t="shared" si="14"/>
        <v>41305.7617799035</v>
      </c>
      <c r="Z37" s="417">
        <f t="shared" si="14"/>
        <v>41604.443389897941</v>
      </c>
      <c r="AA37" s="417">
        <f t="shared" si="14"/>
        <v>41903.675159622377</v>
      </c>
      <c r="AB37" s="417">
        <f t="shared" si="14"/>
        <v>42203.460059528887</v>
      </c>
      <c r="AC37" s="417">
        <f t="shared" si="14"/>
        <v>42503.801076107768</v>
      </c>
      <c r="AD37" s="417">
        <f t="shared" si="14"/>
        <v>42804.701211974141</v>
      </c>
      <c r="AE37" s="417">
        <f t="shared" si="14"/>
        <v>43106.163485954981</v>
      </c>
      <c r="AF37" s="417">
        <f t="shared" si="14"/>
        <v>43408.190933176724</v>
      </c>
      <c r="AG37" s="417">
        <f t="shared" si="14"/>
        <v>43710.786605153167</v>
      </c>
      <c r="AH37" s="417">
        <f t="shared" si="14"/>
        <v>44013.953569874058</v>
      </c>
      <c r="AI37" s="417">
        <f t="shared" si="14"/>
        <v>44317.694911893974</v>
      </c>
      <c r="AJ37" s="417">
        <f t="shared" si="14"/>
        <v>44622.013732421779</v>
      </c>
      <c r="AK37" s="417">
        <f t="shared" si="14"/>
        <v>44926.91314941056</v>
      </c>
      <c r="AL37" s="417">
        <f t="shared" si="14"/>
        <v>45232.396297648025</v>
      </c>
      <c r="AM37" s="417">
        <f t="shared" si="14"/>
        <v>45538.466328847411</v>
      </c>
      <c r="AN37" s="417">
        <f t="shared" si="14"/>
        <v>45845.126411738813</v>
      </c>
      <c r="AO37" s="417">
        <f t="shared" si="14"/>
        <v>46152.379732161164</v>
      </c>
      <c r="AP37" s="417">
        <f t="shared" si="14"/>
        <v>46460.229493154511</v>
      </c>
      <c r="AQ37" s="417">
        <f t="shared" si="14"/>
        <v>46768.678915052908</v>
      </c>
      <c r="AR37" s="417">
        <f t="shared" si="14"/>
        <v>47077.731235577863</v>
      </c>
    </row>
    <row r="38" spans="1:44" x14ac:dyDescent="0.2">
      <c r="A38" s="380"/>
      <c r="B38" s="380"/>
      <c r="C38" s="11"/>
      <c r="D38" s="440"/>
      <c r="E38" s="380"/>
      <c r="F38" s="417"/>
      <c r="G38" s="417"/>
      <c r="H38" s="417"/>
      <c r="I38" s="417"/>
      <c r="J38" s="417"/>
      <c r="K38" s="417"/>
      <c r="L38" s="417"/>
      <c r="M38" s="417"/>
      <c r="N38" s="417"/>
      <c r="O38" s="417"/>
      <c r="P38" s="417"/>
      <c r="Q38" s="417"/>
      <c r="R38" s="417"/>
      <c r="S38" s="417"/>
      <c r="T38" s="417"/>
      <c r="U38" s="417"/>
      <c r="V38" s="417"/>
      <c r="W38" s="417"/>
      <c r="X38" s="417"/>
      <c r="Y38" s="417"/>
      <c r="Z38" s="417"/>
      <c r="AA38" s="417"/>
      <c r="AB38" s="417"/>
      <c r="AC38" s="417"/>
      <c r="AD38" s="417"/>
      <c r="AE38" s="417"/>
      <c r="AF38" s="417"/>
      <c r="AG38" s="417"/>
      <c r="AH38" s="417"/>
      <c r="AI38" s="417"/>
      <c r="AJ38" s="417"/>
      <c r="AK38" s="417"/>
      <c r="AL38" s="417"/>
      <c r="AM38" s="417"/>
      <c r="AN38" s="417"/>
      <c r="AO38" s="417"/>
      <c r="AP38" s="417"/>
      <c r="AQ38" s="417"/>
      <c r="AR38" s="417"/>
    </row>
    <row r="39" spans="1:44" ht="15" x14ac:dyDescent="0.25">
      <c r="A39" s="2" t="s">
        <v>360</v>
      </c>
      <c r="B39" s="380"/>
      <c r="C39" s="11"/>
      <c r="D39" s="459"/>
      <c r="E39" s="380"/>
      <c r="F39" s="417"/>
      <c r="G39" s="417"/>
      <c r="H39" s="417"/>
      <c r="I39" s="417"/>
      <c r="J39" s="417"/>
      <c r="K39" s="417"/>
      <c r="L39" s="417"/>
      <c r="M39" s="417"/>
      <c r="N39" s="417"/>
      <c r="O39" s="417"/>
      <c r="P39" s="417"/>
      <c r="Q39" s="417"/>
      <c r="R39" s="417"/>
      <c r="S39" s="417"/>
      <c r="T39" s="417"/>
      <c r="U39" s="417"/>
      <c r="V39" s="417"/>
      <c r="W39" s="417"/>
      <c r="X39" s="417"/>
      <c r="Y39" s="417"/>
      <c r="Z39" s="417"/>
      <c r="AA39" s="417"/>
      <c r="AB39" s="417"/>
      <c r="AC39" s="417"/>
      <c r="AD39" s="417"/>
      <c r="AE39" s="417"/>
      <c r="AF39" s="417"/>
      <c r="AG39" s="417"/>
      <c r="AH39" s="417"/>
      <c r="AI39" s="417"/>
      <c r="AJ39" s="417"/>
      <c r="AK39" s="417"/>
      <c r="AL39" s="417"/>
      <c r="AM39" s="417"/>
      <c r="AN39" s="417"/>
      <c r="AO39" s="417"/>
      <c r="AP39" s="417"/>
      <c r="AQ39" s="417"/>
      <c r="AR39" s="417"/>
    </row>
    <row r="40" spans="1:44" ht="15" x14ac:dyDescent="0.25">
      <c r="A40" s="2"/>
      <c r="B40" s="380" t="s">
        <v>361</v>
      </c>
      <c r="C40" s="11" t="s">
        <v>98</v>
      </c>
      <c r="D40" s="466">
        <f>Inputs!$E$42</f>
        <v>8</v>
      </c>
      <c r="E40" s="380"/>
      <c r="F40" s="417"/>
      <c r="G40" s="417"/>
      <c r="H40" s="417"/>
      <c r="I40" s="417"/>
      <c r="J40" s="417"/>
      <c r="K40" s="417"/>
      <c r="L40" s="417"/>
      <c r="M40" s="417"/>
      <c r="N40" s="417"/>
      <c r="O40" s="417"/>
      <c r="P40" s="417"/>
      <c r="Q40" s="417"/>
      <c r="R40" s="417"/>
      <c r="S40" s="417"/>
      <c r="T40" s="417"/>
      <c r="U40" s="417"/>
      <c r="V40" s="417"/>
      <c r="W40" s="417"/>
      <c r="X40" s="417"/>
      <c r="Y40" s="417"/>
      <c r="Z40" s="417"/>
      <c r="AA40" s="417"/>
      <c r="AB40" s="417"/>
      <c r="AC40" s="417"/>
      <c r="AD40" s="417"/>
      <c r="AE40" s="417"/>
      <c r="AF40" s="417"/>
      <c r="AG40" s="417"/>
      <c r="AH40" s="417"/>
      <c r="AI40" s="417"/>
      <c r="AJ40" s="417"/>
      <c r="AK40" s="417"/>
      <c r="AL40" s="417"/>
      <c r="AM40" s="417"/>
      <c r="AN40" s="417"/>
      <c r="AO40" s="417"/>
      <c r="AP40" s="417"/>
      <c r="AQ40" s="417"/>
      <c r="AR40" s="417"/>
    </row>
    <row r="41" spans="1:44" ht="15" x14ac:dyDescent="0.25">
      <c r="A41" s="2"/>
      <c r="B41" s="380" t="s">
        <v>361</v>
      </c>
      <c r="C41" s="11" t="s">
        <v>362</v>
      </c>
      <c r="D41" s="467">
        <f>Inputs!$E$151</f>
        <v>0.21</v>
      </c>
      <c r="E41" s="380"/>
      <c r="F41" s="417"/>
      <c r="G41" s="417"/>
      <c r="H41" s="417"/>
      <c r="I41" s="417"/>
      <c r="J41" s="417"/>
      <c r="K41" s="417"/>
      <c r="L41" s="417"/>
      <c r="M41" s="417"/>
      <c r="N41" s="417"/>
      <c r="O41" s="417"/>
      <c r="P41" s="417"/>
      <c r="Q41" s="417"/>
      <c r="R41" s="417"/>
      <c r="S41" s="417"/>
      <c r="T41" s="417"/>
      <c r="U41" s="417"/>
      <c r="V41" s="417"/>
      <c r="W41" s="417"/>
      <c r="X41" s="417"/>
      <c r="Y41" s="417"/>
      <c r="Z41" s="417"/>
      <c r="AA41" s="417"/>
      <c r="AB41" s="417"/>
      <c r="AC41" s="417"/>
      <c r="AD41" s="417"/>
      <c r="AE41" s="417"/>
      <c r="AF41" s="417"/>
      <c r="AG41" s="417"/>
      <c r="AH41" s="417"/>
      <c r="AI41" s="417"/>
      <c r="AJ41" s="417"/>
      <c r="AK41" s="417"/>
      <c r="AL41" s="417"/>
      <c r="AM41" s="417"/>
      <c r="AN41" s="417"/>
      <c r="AO41" s="417"/>
      <c r="AP41" s="417"/>
      <c r="AQ41" s="417"/>
      <c r="AR41" s="417"/>
    </row>
    <row r="42" spans="1:44" x14ac:dyDescent="0.2">
      <c r="A42" s="380"/>
      <c r="B42" s="380" t="s">
        <v>359</v>
      </c>
      <c r="C42" s="11" t="s">
        <v>318</v>
      </c>
      <c r="D42" s="426">
        <f>SUM(F42:AR42)</f>
        <v>9347.1262671332406</v>
      </c>
      <c r="E42" s="380"/>
      <c r="F42" s="417">
        <f>$D$40*$D$41*F$29</f>
        <v>112.0229641972238</v>
      </c>
      <c r="G42" s="417">
        <f t="shared" ref="G42:AR42" si="15">$D$40*$D$41*G$29</f>
        <v>112.62780462386011</v>
      </c>
      <c r="H42" s="417">
        <f t="shared" si="15"/>
        <v>113.23591073753047</v>
      </c>
      <c r="I42" s="417">
        <f t="shared" si="15"/>
        <v>113.84730017050833</v>
      </c>
      <c r="J42" s="417">
        <f t="shared" si="15"/>
        <v>114.46199065026828</v>
      </c>
      <c r="K42" s="417">
        <f t="shared" si="15"/>
        <v>115.08000000000003</v>
      </c>
      <c r="L42" s="417">
        <f t="shared" si="15"/>
        <v>115.70134613912523</v>
      </c>
      <c r="M42" s="417">
        <f t="shared" si="15"/>
        <v>116.32604708381706</v>
      </c>
      <c r="N42" s="417">
        <f t="shared" si="15"/>
        <v>116.95412094752255</v>
      </c>
      <c r="O42" s="417">
        <f t="shared" si="15"/>
        <v>184.87025794148784</v>
      </c>
      <c r="P42" s="417">
        <f t="shared" si="15"/>
        <v>220.11792037528619</v>
      </c>
      <c r="Q42" s="417">
        <f t="shared" si="15"/>
        <v>256.01597865734897</v>
      </c>
      <c r="R42" s="417">
        <f t="shared" si="15"/>
        <v>257.95166329549937</v>
      </c>
      <c r="S42" s="417">
        <f t="shared" si="15"/>
        <v>259.89081289748879</v>
      </c>
      <c r="T42" s="417">
        <f t="shared" si="15"/>
        <v>261.83344617153688</v>
      </c>
      <c r="U42" s="417">
        <f t="shared" si="15"/>
        <v>263.77958192687356</v>
      </c>
      <c r="V42" s="417">
        <f t="shared" si="15"/>
        <v>265.72923907428464</v>
      </c>
      <c r="W42" s="417">
        <f t="shared" si="15"/>
        <v>267.68243662665992</v>
      </c>
      <c r="X42" s="417">
        <f t="shared" si="15"/>
        <v>269.63919369954482</v>
      </c>
      <c r="Y42" s="417">
        <f t="shared" si="15"/>
        <v>271.5995295116943</v>
      </c>
      <c r="Z42" s="417">
        <f t="shared" si="15"/>
        <v>273.56346338563026</v>
      </c>
      <c r="AA42" s="417">
        <f t="shared" si="15"/>
        <v>275.53101474820193</v>
      </c>
      <c r="AB42" s="417">
        <f t="shared" si="15"/>
        <v>277.50220313114886</v>
      </c>
      <c r="AC42" s="417">
        <f t="shared" si="15"/>
        <v>279.47704817166749</v>
      </c>
      <c r="AD42" s="417">
        <f t="shared" si="15"/>
        <v>281.45556961298064</v>
      </c>
      <c r="AE42" s="417">
        <f t="shared" si="15"/>
        <v>283.43778730490948</v>
      </c>
      <c r="AF42" s="417">
        <f t="shared" si="15"/>
        <v>285.42372120444969</v>
      </c>
      <c r="AG42" s="417">
        <f t="shared" si="15"/>
        <v>287.41339137634958</v>
      </c>
      <c r="AH42" s="417">
        <f t="shared" si="15"/>
        <v>289.40681799369247</v>
      </c>
      <c r="AI42" s="417">
        <f t="shared" si="15"/>
        <v>291.4040213384809</v>
      </c>
      <c r="AJ42" s="417">
        <f t="shared" si="15"/>
        <v>293.40502180222535</v>
      </c>
      <c r="AK42" s="417">
        <f t="shared" si="15"/>
        <v>295.40983988653517</v>
      </c>
      <c r="AL42" s="417">
        <f t="shared" si="15"/>
        <v>297.41849620371306</v>
      </c>
      <c r="AM42" s="417">
        <f t="shared" si="15"/>
        <v>299.4310114773528</v>
      </c>
      <c r="AN42" s="417">
        <f t="shared" si="15"/>
        <v>301.4474065429402</v>
      </c>
      <c r="AO42" s="417">
        <f t="shared" si="15"/>
        <v>303.46770234845701</v>
      </c>
      <c r="AP42" s="417">
        <f t="shared" si="15"/>
        <v>305.49191995498853</v>
      </c>
      <c r="AQ42" s="417">
        <f t="shared" si="15"/>
        <v>307.52008053733414</v>
      </c>
      <c r="AR42" s="417">
        <f t="shared" si="15"/>
        <v>309.55220538462157</v>
      </c>
    </row>
    <row r="43" spans="1:44" x14ac:dyDescent="0.2">
      <c r="A43" s="380"/>
      <c r="B43" s="380" t="s">
        <v>79</v>
      </c>
      <c r="C43" s="52" t="s">
        <v>80</v>
      </c>
      <c r="D43" s="440">
        <f>Inputs!$E$32</f>
        <v>365</v>
      </c>
      <c r="E43" s="380"/>
      <c r="F43" s="417"/>
      <c r="G43" s="417"/>
      <c r="H43" s="417"/>
      <c r="I43" s="417"/>
      <c r="J43" s="417"/>
      <c r="K43" s="417"/>
      <c r="L43" s="417"/>
      <c r="M43" s="417"/>
      <c r="N43" s="417"/>
      <c r="O43" s="417"/>
      <c r="P43" s="417"/>
      <c r="Q43" s="417"/>
      <c r="R43" s="417"/>
      <c r="S43" s="417"/>
      <c r="T43" s="417"/>
      <c r="U43" s="417"/>
      <c r="V43" s="417"/>
      <c r="W43" s="417"/>
      <c r="X43" s="417"/>
      <c r="Y43" s="417"/>
      <c r="Z43" s="417"/>
      <c r="AA43" s="417"/>
      <c r="AB43" s="417"/>
      <c r="AC43" s="417"/>
      <c r="AD43" s="417"/>
      <c r="AE43" s="417"/>
      <c r="AF43" s="417"/>
      <c r="AG43" s="417"/>
      <c r="AH43" s="417"/>
      <c r="AI43" s="417"/>
      <c r="AJ43" s="417"/>
      <c r="AK43" s="417"/>
      <c r="AL43" s="417"/>
      <c r="AM43" s="417"/>
      <c r="AN43" s="417"/>
      <c r="AO43" s="417"/>
      <c r="AP43" s="417"/>
      <c r="AQ43" s="417"/>
      <c r="AR43" s="417"/>
    </row>
    <row r="44" spans="1:44" x14ac:dyDescent="0.2">
      <c r="A44" s="380"/>
      <c r="B44" s="380" t="s">
        <v>359</v>
      </c>
      <c r="C44" s="11" t="s">
        <v>310</v>
      </c>
      <c r="D44" s="426">
        <f>SUM(F44:AR44)</f>
        <v>3411701.0875036325</v>
      </c>
      <c r="E44" s="380"/>
      <c r="F44" s="417">
        <f>F42*$D$36</f>
        <v>40888.381931986689</v>
      </c>
      <c r="G44" s="417">
        <f t="shared" ref="G44:AR44" si="16">G42*$D$36</f>
        <v>41109.148687708941</v>
      </c>
      <c r="H44" s="417">
        <f t="shared" si="16"/>
        <v>41331.107419198626</v>
      </c>
      <c r="I44" s="417">
        <f t="shared" si="16"/>
        <v>41554.264562235541</v>
      </c>
      <c r="J44" s="417">
        <f t="shared" si="16"/>
        <v>41778.626587347921</v>
      </c>
      <c r="K44" s="417">
        <f t="shared" si="16"/>
        <v>42004.200000000012</v>
      </c>
      <c r="L44" s="417">
        <f t="shared" si="16"/>
        <v>42230.991340780711</v>
      </c>
      <c r="M44" s="417">
        <f t="shared" si="16"/>
        <v>42459.007185593226</v>
      </c>
      <c r="N44" s="417">
        <f t="shared" si="16"/>
        <v>42688.254145845734</v>
      </c>
      <c r="O44" s="417">
        <f t="shared" si="16"/>
        <v>67477.644148643056</v>
      </c>
      <c r="P44" s="417">
        <f t="shared" si="16"/>
        <v>80343.040936979465</v>
      </c>
      <c r="Q44" s="417">
        <f t="shared" si="16"/>
        <v>93445.83220993237</v>
      </c>
      <c r="R44" s="417">
        <f t="shared" si="16"/>
        <v>94152.357102857277</v>
      </c>
      <c r="S44" s="417">
        <f t="shared" si="16"/>
        <v>94860.146707583408</v>
      </c>
      <c r="T44" s="417">
        <f t="shared" si="16"/>
        <v>95569.207852610954</v>
      </c>
      <c r="U44" s="417">
        <f t="shared" si="16"/>
        <v>96279.547403308854</v>
      </c>
      <c r="V44" s="417">
        <f t="shared" si="16"/>
        <v>96991.172262113891</v>
      </c>
      <c r="W44" s="417">
        <f t="shared" si="16"/>
        <v>97704.089368730871</v>
      </c>
      <c r="X44" s="417">
        <f t="shared" si="16"/>
        <v>98418.305700333862</v>
      </c>
      <c r="Y44" s="417">
        <f t="shared" si="16"/>
        <v>99133.82827176842</v>
      </c>
      <c r="Z44" s="417">
        <f t="shared" si="16"/>
        <v>99850.66413575504</v>
      </c>
      <c r="AA44" s="417">
        <f t="shared" si="16"/>
        <v>100568.8203830937</v>
      </c>
      <c r="AB44" s="417">
        <f t="shared" si="16"/>
        <v>101288.30414286934</v>
      </c>
      <c r="AC44" s="417">
        <f t="shared" si="16"/>
        <v>102009.12258265863</v>
      </c>
      <c r="AD44" s="417">
        <f t="shared" si="16"/>
        <v>102731.28290873794</v>
      </c>
      <c r="AE44" s="417">
        <f t="shared" si="16"/>
        <v>103454.79236629196</v>
      </c>
      <c r="AF44" s="417">
        <f t="shared" si="16"/>
        <v>104179.65823962414</v>
      </c>
      <c r="AG44" s="417">
        <f t="shared" si="16"/>
        <v>104905.8878523676</v>
      </c>
      <c r="AH44" s="417">
        <f t="shared" si="16"/>
        <v>105633.48856769776</v>
      </c>
      <c r="AI44" s="417">
        <f t="shared" si="16"/>
        <v>106362.46778854553</v>
      </c>
      <c r="AJ44" s="417">
        <f t="shared" si="16"/>
        <v>107092.83295781225</v>
      </c>
      <c r="AK44" s="417">
        <f t="shared" si="16"/>
        <v>107824.59155858534</v>
      </c>
      <c r="AL44" s="417">
        <f t="shared" si="16"/>
        <v>108557.75111435527</v>
      </c>
      <c r="AM44" s="417">
        <f t="shared" si="16"/>
        <v>109292.31918923378</v>
      </c>
      <c r="AN44" s="417">
        <f t="shared" si="16"/>
        <v>110028.30338817317</v>
      </c>
      <c r="AO44" s="417">
        <f t="shared" si="16"/>
        <v>110765.71135718681</v>
      </c>
      <c r="AP44" s="417">
        <f t="shared" si="16"/>
        <v>111504.55078357081</v>
      </c>
      <c r="AQ44" s="417">
        <f t="shared" si="16"/>
        <v>112244.82939612697</v>
      </c>
      <c r="AR44" s="417">
        <f t="shared" si="16"/>
        <v>112986.55496538688</v>
      </c>
    </row>
    <row r="45" spans="1:44" x14ac:dyDescent="0.2">
      <c r="A45" s="380"/>
      <c r="B45" s="380"/>
      <c r="C45" s="11"/>
      <c r="D45" s="440"/>
      <c r="E45" s="380"/>
      <c r="F45" s="417"/>
      <c r="G45" s="417"/>
      <c r="H45" s="417"/>
      <c r="I45" s="417"/>
      <c r="J45" s="417"/>
      <c r="K45" s="417"/>
      <c r="L45" s="417"/>
      <c r="M45" s="417"/>
      <c r="N45" s="417"/>
      <c r="O45" s="417"/>
      <c r="P45" s="417"/>
      <c r="Q45" s="417"/>
      <c r="R45" s="417"/>
      <c r="S45" s="417"/>
      <c r="T45" s="417"/>
      <c r="U45" s="417"/>
      <c r="V45" s="417"/>
      <c r="W45" s="417"/>
      <c r="X45" s="417"/>
      <c r="Y45" s="417"/>
      <c r="Z45" s="417"/>
      <c r="AA45" s="417"/>
      <c r="AB45" s="417"/>
      <c r="AC45" s="417"/>
      <c r="AD45" s="417"/>
      <c r="AE45" s="417"/>
      <c r="AF45" s="417"/>
      <c r="AG45" s="417"/>
      <c r="AH45" s="417"/>
      <c r="AI45" s="417"/>
      <c r="AJ45" s="417"/>
      <c r="AK45" s="417"/>
      <c r="AL45" s="417"/>
      <c r="AM45" s="417"/>
      <c r="AN45" s="417"/>
      <c r="AO45" s="417"/>
      <c r="AP45" s="417"/>
      <c r="AQ45" s="417"/>
      <c r="AR45" s="417"/>
    </row>
    <row r="46" spans="1:44" ht="15" x14ac:dyDescent="0.25">
      <c r="A46" s="2" t="s">
        <v>363</v>
      </c>
      <c r="B46" s="380"/>
      <c r="C46" s="11"/>
      <c r="D46" s="459"/>
      <c r="E46" s="380"/>
      <c r="F46" s="417"/>
      <c r="G46" s="417"/>
      <c r="H46" s="417"/>
      <c r="I46" s="417"/>
      <c r="J46" s="417"/>
      <c r="K46" s="417"/>
      <c r="L46" s="417"/>
      <c r="M46" s="417"/>
      <c r="N46" s="417"/>
      <c r="O46" s="417"/>
      <c r="P46" s="417"/>
      <c r="Q46" s="417"/>
      <c r="R46" s="417"/>
      <c r="S46" s="417"/>
      <c r="T46" s="417"/>
      <c r="U46" s="417"/>
      <c r="V46" s="417"/>
      <c r="W46" s="417"/>
      <c r="X46" s="417"/>
      <c r="Y46" s="417"/>
      <c r="Z46" s="417"/>
      <c r="AA46" s="417"/>
      <c r="AB46" s="417"/>
      <c r="AC46" s="417"/>
      <c r="AD46" s="417"/>
      <c r="AE46" s="417"/>
      <c r="AF46" s="417"/>
      <c r="AG46" s="417"/>
      <c r="AH46" s="417"/>
      <c r="AI46" s="417"/>
      <c r="AJ46" s="417"/>
      <c r="AK46" s="417"/>
      <c r="AL46" s="417"/>
      <c r="AM46" s="417"/>
      <c r="AN46" s="417"/>
      <c r="AO46" s="417"/>
      <c r="AP46" s="417"/>
      <c r="AQ46" s="417"/>
      <c r="AR46" s="417"/>
    </row>
    <row r="47" spans="1:44" ht="15" x14ac:dyDescent="0.25">
      <c r="A47" s="2"/>
      <c r="B47" s="380" t="s">
        <v>364</v>
      </c>
      <c r="C47" s="11" t="s">
        <v>98</v>
      </c>
      <c r="D47" s="466">
        <f>Inputs!$E$43</f>
        <v>4</v>
      </c>
      <c r="E47" s="380"/>
      <c r="F47" s="417"/>
      <c r="G47" s="417"/>
      <c r="H47" s="417"/>
      <c r="I47" s="417"/>
      <c r="J47" s="417"/>
      <c r="K47" s="417"/>
      <c r="L47" s="417"/>
      <c r="M47" s="417"/>
      <c r="N47" s="417"/>
      <c r="O47" s="417"/>
      <c r="P47" s="417"/>
      <c r="Q47" s="417"/>
      <c r="R47" s="417"/>
      <c r="S47" s="417"/>
      <c r="T47" s="417"/>
      <c r="U47" s="417"/>
      <c r="V47" s="417"/>
      <c r="W47" s="417"/>
      <c r="X47" s="417"/>
      <c r="Y47" s="417"/>
      <c r="Z47" s="417"/>
      <c r="AA47" s="417"/>
      <c r="AB47" s="417"/>
      <c r="AC47" s="417"/>
      <c r="AD47" s="417"/>
      <c r="AE47" s="417"/>
      <c r="AF47" s="417"/>
      <c r="AG47" s="417"/>
      <c r="AH47" s="417"/>
      <c r="AI47" s="417"/>
      <c r="AJ47" s="417"/>
      <c r="AK47" s="417"/>
      <c r="AL47" s="417"/>
      <c r="AM47" s="417"/>
      <c r="AN47" s="417"/>
      <c r="AO47" s="417"/>
      <c r="AP47" s="417"/>
      <c r="AQ47" s="417"/>
      <c r="AR47" s="417"/>
    </row>
    <row r="48" spans="1:44" ht="15" x14ac:dyDescent="0.25">
      <c r="A48" s="2"/>
      <c r="B48" s="380" t="s">
        <v>361</v>
      </c>
      <c r="C48" s="11" t="s">
        <v>362</v>
      </c>
      <c r="D48" s="467">
        <f>Inputs!$E$152</f>
        <v>0.55000000000000004</v>
      </c>
      <c r="E48" s="380"/>
      <c r="F48" s="417"/>
      <c r="G48" s="417"/>
      <c r="H48" s="417"/>
      <c r="I48" s="417"/>
      <c r="J48" s="417"/>
      <c r="K48" s="417"/>
      <c r="L48" s="417"/>
      <c r="M48" s="417"/>
      <c r="N48" s="417"/>
      <c r="O48" s="417"/>
      <c r="P48" s="417"/>
      <c r="Q48" s="417"/>
      <c r="R48" s="417"/>
      <c r="S48" s="417"/>
      <c r="T48" s="417"/>
      <c r="U48" s="417"/>
      <c r="V48" s="417"/>
      <c r="W48" s="417"/>
      <c r="X48" s="417"/>
      <c r="Y48" s="417"/>
      <c r="Z48" s="417"/>
      <c r="AA48" s="417"/>
      <c r="AB48" s="417"/>
      <c r="AC48" s="417"/>
      <c r="AD48" s="417"/>
      <c r="AE48" s="417"/>
      <c r="AF48" s="417"/>
      <c r="AG48" s="417"/>
      <c r="AH48" s="417"/>
      <c r="AI48" s="417"/>
      <c r="AJ48" s="417"/>
      <c r="AK48" s="417"/>
      <c r="AL48" s="417"/>
      <c r="AM48" s="417"/>
      <c r="AN48" s="417"/>
      <c r="AO48" s="417"/>
      <c r="AP48" s="417"/>
      <c r="AQ48" s="417"/>
      <c r="AR48" s="417"/>
    </row>
    <row r="49" spans="1:44" x14ac:dyDescent="0.2">
      <c r="A49" s="380"/>
      <c r="B49" s="380" t="s">
        <v>359</v>
      </c>
      <c r="C49" s="11" t="s">
        <v>318</v>
      </c>
      <c r="D49" s="426">
        <f>SUM(F49:AR49)</f>
        <v>12240.28439743639</v>
      </c>
      <c r="E49" s="380"/>
      <c r="F49" s="417">
        <f>$D$47*$D$48*F$29</f>
        <v>146.69673882969786</v>
      </c>
      <c r="G49" s="417">
        <f t="shared" ref="G49:AR49" si="17">$D$47*$D$48*G$29</f>
        <v>147.48879176934065</v>
      </c>
      <c r="H49" s="417">
        <f t="shared" si="17"/>
        <v>148.28512120390897</v>
      </c>
      <c r="I49" s="417">
        <f t="shared" si="17"/>
        <v>149.08575022328475</v>
      </c>
      <c r="J49" s="417">
        <f t="shared" si="17"/>
        <v>149.89070204201798</v>
      </c>
      <c r="K49" s="417">
        <f t="shared" si="17"/>
        <v>150.70000000000005</v>
      </c>
      <c r="L49" s="417">
        <f t="shared" si="17"/>
        <v>151.51366756314019</v>
      </c>
      <c r="M49" s="417">
        <f t="shared" si="17"/>
        <v>152.33172832404617</v>
      </c>
      <c r="N49" s="417">
        <f t="shared" si="17"/>
        <v>153.15420600270812</v>
      </c>
      <c r="O49" s="417">
        <f t="shared" si="17"/>
        <v>242.09200444718647</v>
      </c>
      <c r="P49" s="417">
        <f t="shared" si="17"/>
        <v>288.24965763430339</v>
      </c>
      <c r="Q49" s="417">
        <f t="shared" si="17"/>
        <v>335.25901967033798</v>
      </c>
      <c r="R49" s="417">
        <f t="shared" si="17"/>
        <v>337.79384479172541</v>
      </c>
      <c r="S49" s="417">
        <f t="shared" si="17"/>
        <v>340.33320736575916</v>
      </c>
      <c r="T49" s="417">
        <f t="shared" si="17"/>
        <v>342.87713189129835</v>
      </c>
      <c r="U49" s="417">
        <f t="shared" si="17"/>
        <v>345.42564299947736</v>
      </c>
      <c r="V49" s="417">
        <f t="shared" si="17"/>
        <v>347.97876545442034</v>
      </c>
      <c r="W49" s="417">
        <f t="shared" si="17"/>
        <v>350.53652415395948</v>
      </c>
      <c r="X49" s="417">
        <f t="shared" si="17"/>
        <v>353.0989441303563</v>
      </c>
      <c r="Y49" s="417">
        <f t="shared" si="17"/>
        <v>355.66605055102826</v>
      </c>
      <c r="Z49" s="417">
        <f t="shared" si="17"/>
        <v>358.2378687192778</v>
      </c>
      <c r="AA49" s="417">
        <f t="shared" si="17"/>
        <v>360.81442407502635</v>
      </c>
      <c r="AB49" s="417">
        <f t="shared" si="17"/>
        <v>363.39574219555215</v>
      </c>
      <c r="AC49" s="417">
        <f t="shared" si="17"/>
        <v>365.9818487962313</v>
      </c>
      <c r="AD49" s="417">
        <f t="shared" si="17"/>
        <v>368.57276973128421</v>
      </c>
      <c r="AE49" s="417">
        <f t="shared" si="17"/>
        <v>371.16853099452442</v>
      </c>
      <c r="AF49" s="417">
        <f t="shared" si="17"/>
        <v>373.76915872011273</v>
      </c>
      <c r="AG49" s="417">
        <f t="shared" si="17"/>
        <v>376.37467918331498</v>
      </c>
      <c r="AH49" s="417">
        <f t="shared" si="17"/>
        <v>378.98511880126404</v>
      </c>
      <c r="AI49" s="417">
        <f t="shared" si="17"/>
        <v>381.600504133725</v>
      </c>
      <c r="AJ49" s="417">
        <f t="shared" si="17"/>
        <v>384.22086188386658</v>
      </c>
      <c r="AK49" s="417">
        <f t="shared" si="17"/>
        <v>386.84621889903417</v>
      </c>
      <c r="AL49" s="417">
        <f t="shared" si="17"/>
        <v>389.47660217152907</v>
      </c>
      <c r="AM49" s="417">
        <f t="shared" si="17"/>
        <v>392.11203883939066</v>
      </c>
      <c r="AN49" s="417">
        <f t="shared" si="17"/>
        <v>394.75255618718359</v>
      </c>
      <c r="AO49" s="417">
        <f t="shared" si="17"/>
        <v>397.398181646789</v>
      </c>
      <c r="AP49" s="417">
        <f t="shared" si="17"/>
        <v>400.04894279819933</v>
      </c>
      <c r="AQ49" s="417">
        <f t="shared" si="17"/>
        <v>402.7048673703186</v>
      </c>
      <c r="AR49" s="417">
        <f t="shared" si="17"/>
        <v>405.3659832417664</v>
      </c>
    </row>
    <row r="50" spans="1:44" x14ac:dyDescent="0.2">
      <c r="A50" s="380"/>
      <c r="B50" s="380" t="s">
        <v>79</v>
      </c>
      <c r="C50" s="52" t="s">
        <v>80</v>
      </c>
      <c r="D50" s="440">
        <f>Inputs!$E$32</f>
        <v>365</v>
      </c>
      <c r="E50" s="380"/>
      <c r="F50" s="417"/>
      <c r="G50" s="417"/>
      <c r="H50" s="417"/>
      <c r="I50" s="417"/>
      <c r="J50" s="417"/>
      <c r="K50" s="417"/>
      <c r="L50" s="417"/>
      <c r="M50" s="417"/>
      <c r="N50" s="417"/>
      <c r="O50" s="417"/>
      <c r="P50" s="417"/>
      <c r="Q50" s="417"/>
      <c r="R50" s="417"/>
      <c r="S50" s="417"/>
      <c r="T50" s="417"/>
      <c r="U50" s="417"/>
      <c r="V50" s="417"/>
      <c r="W50" s="417"/>
      <c r="X50" s="417"/>
      <c r="Y50" s="417"/>
      <c r="Z50" s="417"/>
      <c r="AA50" s="417"/>
      <c r="AB50" s="417"/>
      <c r="AC50" s="417"/>
      <c r="AD50" s="417"/>
      <c r="AE50" s="417"/>
      <c r="AF50" s="417"/>
      <c r="AG50" s="417"/>
      <c r="AH50" s="417"/>
      <c r="AI50" s="417"/>
      <c r="AJ50" s="417"/>
      <c r="AK50" s="417"/>
      <c r="AL50" s="417"/>
      <c r="AM50" s="417"/>
      <c r="AN50" s="417"/>
      <c r="AO50" s="417"/>
      <c r="AP50" s="417"/>
      <c r="AQ50" s="417"/>
      <c r="AR50" s="417"/>
    </row>
    <row r="51" spans="1:44" x14ac:dyDescent="0.2">
      <c r="A51" s="380"/>
      <c r="B51" s="380" t="s">
        <v>359</v>
      </c>
      <c r="C51" s="11" t="s">
        <v>310</v>
      </c>
      <c r="D51" s="426">
        <f>SUM(F51:AR51)</f>
        <v>4467703.8050642805</v>
      </c>
      <c r="E51" s="380"/>
      <c r="F51" s="417">
        <f>F49*$D$36</f>
        <v>53544.309672839721</v>
      </c>
      <c r="G51" s="417">
        <f t="shared" ref="G51:AR51" si="18">G49*$D$36</f>
        <v>53833.408995809339</v>
      </c>
      <c r="H51" s="417">
        <f t="shared" si="18"/>
        <v>54124.069239426775</v>
      </c>
      <c r="I51" s="417">
        <f t="shared" si="18"/>
        <v>54416.298831498934</v>
      </c>
      <c r="J51" s="417">
        <f t="shared" si="18"/>
        <v>54710.106245336559</v>
      </c>
      <c r="K51" s="417">
        <f t="shared" si="18"/>
        <v>55005.500000000015</v>
      </c>
      <c r="L51" s="417">
        <f t="shared" si="18"/>
        <v>55302.488660546165</v>
      </c>
      <c r="M51" s="417">
        <f t="shared" si="18"/>
        <v>55601.080838276852</v>
      </c>
      <c r="N51" s="417">
        <f t="shared" si="18"/>
        <v>55901.285190988463</v>
      </c>
      <c r="O51" s="417">
        <f t="shared" si="18"/>
        <v>88363.581623223057</v>
      </c>
      <c r="P51" s="417">
        <f t="shared" si="18"/>
        <v>105211.12503652074</v>
      </c>
      <c r="Q51" s="417">
        <f t="shared" si="18"/>
        <v>122369.54217967336</v>
      </c>
      <c r="R51" s="417">
        <f t="shared" si="18"/>
        <v>123294.75334897978</v>
      </c>
      <c r="S51" s="417">
        <f t="shared" si="18"/>
        <v>124221.62068850209</v>
      </c>
      <c r="T51" s="417">
        <f t="shared" si="18"/>
        <v>125150.15314032389</v>
      </c>
      <c r="U51" s="417">
        <f t="shared" si="18"/>
        <v>126080.35969480923</v>
      </c>
      <c r="V51" s="417">
        <f t="shared" si="18"/>
        <v>127012.24939086342</v>
      </c>
      <c r="W51" s="417">
        <f t="shared" si="18"/>
        <v>127945.83131619521</v>
      </c>
      <c r="X51" s="417">
        <f t="shared" si="18"/>
        <v>128881.11460758005</v>
      </c>
      <c r="Y51" s="417">
        <f t="shared" si="18"/>
        <v>129818.10845112531</v>
      </c>
      <c r="Z51" s="417">
        <f t="shared" si="18"/>
        <v>130756.8220825364</v>
      </c>
      <c r="AA51" s="417">
        <f t="shared" si="18"/>
        <v>131697.26478738463</v>
      </c>
      <c r="AB51" s="417">
        <f t="shared" si="18"/>
        <v>132639.44590137654</v>
      </c>
      <c r="AC51" s="417">
        <f t="shared" si="18"/>
        <v>133583.37481062443</v>
      </c>
      <c r="AD51" s="417">
        <f t="shared" si="18"/>
        <v>134529.06095191874</v>
      </c>
      <c r="AE51" s="417">
        <f t="shared" si="18"/>
        <v>135476.51381300142</v>
      </c>
      <c r="AF51" s="417">
        <f t="shared" si="18"/>
        <v>136425.74293284115</v>
      </c>
      <c r="AG51" s="417">
        <f t="shared" si="18"/>
        <v>137376.75790190996</v>
      </c>
      <c r="AH51" s="417">
        <f t="shared" si="18"/>
        <v>138329.56836246137</v>
      </c>
      <c r="AI51" s="417">
        <f t="shared" si="18"/>
        <v>139284.18400880962</v>
      </c>
      <c r="AJ51" s="417">
        <f t="shared" si="18"/>
        <v>140240.61458761129</v>
      </c>
      <c r="AK51" s="417">
        <f t="shared" si="18"/>
        <v>141198.86989814747</v>
      </c>
      <c r="AL51" s="417">
        <f t="shared" si="18"/>
        <v>142158.9597926081</v>
      </c>
      <c r="AM51" s="417">
        <f t="shared" si="18"/>
        <v>143120.89417637759</v>
      </c>
      <c r="AN51" s="417">
        <f t="shared" si="18"/>
        <v>144084.683008322</v>
      </c>
      <c r="AO51" s="417">
        <f t="shared" si="18"/>
        <v>145050.33630107797</v>
      </c>
      <c r="AP51" s="417">
        <f t="shared" si="18"/>
        <v>146017.86412134275</v>
      </c>
      <c r="AQ51" s="417">
        <f t="shared" si="18"/>
        <v>146987.27659016629</v>
      </c>
      <c r="AR51" s="417">
        <f t="shared" si="18"/>
        <v>147958.58388324475</v>
      </c>
    </row>
    <row r="52" spans="1:44" x14ac:dyDescent="0.2">
      <c r="A52" s="380"/>
      <c r="B52" s="380"/>
      <c r="C52" s="11"/>
      <c r="D52" s="440"/>
      <c r="E52" s="380"/>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c r="AN52" s="417"/>
      <c r="AO52" s="417"/>
      <c r="AP52" s="417"/>
      <c r="AQ52" s="417"/>
      <c r="AR52" s="417"/>
    </row>
    <row r="53" spans="1:44" ht="15" x14ac:dyDescent="0.25">
      <c r="A53" s="2" t="s">
        <v>297</v>
      </c>
      <c r="B53" s="380"/>
      <c r="C53" s="11" t="s">
        <v>310</v>
      </c>
      <c r="D53" s="440">
        <f>SUM(F53:AR53)</f>
        <v>9300947.0123610962</v>
      </c>
      <c r="E53" s="380"/>
      <c r="F53" s="417">
        <f>F37+F44+F51</f>
        <v>111469.51740982087</v>
      </c>
      <c r="G53" s="417">
        <f t="shared" ref="G53:AR53" si="19">G37+G44+G51</f>
        <v>112071.36963673033</v>
      </c>
      <c r="H53" s="417">
        <f t="shared" si="19"/>
        <v>112676.47141662482</v>
      </c>
      <c r="I53" s="417">
        <f t="shared" si="19"/>
        <v>113284.84029466595</v>
      </c>
      <c r="J53" s="417">
        <f t="shared" si="19"/>
        <v>113896.49391074611</v>
      </c>
      <c r="K53" s="417">
        <f t="shared" si="19"/>
        <v>114511.45000000003</v>
      </c>
      <c r="L53" s="417">
        <f t="shared" si="19"/>
        <v>115129.72639331884</v>
      </c>
      <c r="M53" s="417">
        <f t="shared" si="19"/>
        <v>115751.34101786726</v>
      </c>
      <c r="N53" s="417">
        <f t="shared" si="19"/>
        <v>116376.31189760326</v>
      </c>
      <c r="O53" s="417">
        <f t="shared" si="19"/>
        <v>183956.91083380074</v>
      </c>
      <c r="P53" s="417">
        <f t="shared" si="19"/>
        <v>219030.43303057499</v>
      </c>
      <c r="Q53" s="417">
        <f t="shared" si="19"/>
        <v>254751.1378104109</v>
      </c>
      <c r="R53" s="417">
        <f t="shared" si="19"/>
        <v>256677.25924469426</v>
      </c>
      <c r="S53" s="417">
        <f t="shared" si="19"/>
        <v>258606.82852424527</v>
      </c>
      <c r="T53" s="417">
        <f t="shared" si="19"/>
        <v>260539.86426485609</v>
      </c>
      <c r="U53" s="417">
        <f t="shared" si="19"/>
        <v>262476.3851828301</v>
      </c>
      <c r="V53" s="417">
        <f t="shared" si="19"/>
        <v>264416.41009552474</v>
      </c>
      <c r="W53" s="417">
        <f t="shared" si="19"/>
        <v>266359.95792189729</v>
      </c>
      <c r="X53" s="417">
        <f t="shared" si="19"/>
        <v>268307.04768305301</v>
      </c>
      <c r="Y53" s="417">
        <f t="shared" si="19"/>
        <v>270257.69850279723</v>
      </c>
      <c r="Z53" s="417">
        <f t="shared" si="19"/>
        <v>272211.92960818938</v>
      </c>
      <c r="AA53" s="417">
        <f t="shared" si="19"/>
        <v>274169.76033010066</v>
      </c>
      <c r="AB53" s="417">
        <f t="shared" si="19"/>
        <v>276131.21010377479</v>
      </c>
      <c r="AC53" s="417">
        <f t="shared" si="19"/>
        <v>278096.29846939084</v>
      </c>
      <c r="AD53" s="417">
        <f t="shared" si="19"/>
        <v>280065.04507263086</v>
      </c>
      <c r="AE53" s="417">
        <f t="shared" si="19"/>
        <v>282037.46966524841</v>
      </c>
      <c r="AF53" s="417">
        <f t="shared" si="19"/>
        <v>284013.59210564202</v>
      </c>
      <c r="AG53" s="417">
        <f t="shared" si="19"/>
        <v>285993.43235943071</v>
      </c>
      <c r="AH53" s="417">
        <f t="shared" si="19"/>
        <v>287977.01050003315</v>
      </c>
      <c r="AI53" s="417">
        <f t="shared" si="19"/>
        <v>289964.34670924913</v>
      </c>
      <c r="AJ53" s="417">
        <f t="shared" si="19"/>
        <v>291955.46127784532</v>
      </c>
      <c r="AK53" s="417">
        <f t="shared" si="19"/>
        <v>293950.37460614333</v>
      </c>
      <c r="AL53" s="417">
        <f t="shared" si="19"/>
        <v>295949.10720461141</v>
      </c>
      <c r="AM53" s="417">
        <f t="shared" si="19"/>
        <v>297951.67969445878</v>
      </c>
      <c r="AN53" s="417">
        <f t="shared" si="19"/>
        <v>299958.11280823394</v>
      </c>
      <c r="AO53" s="417">
        <f t="shared" si="19"/>
        <v>301968.42739042593</v>
      </c>
      <c r="AP53" s="417">
        <f t="shared" si="19"/>
        <v>303982.64439806808</v>
      </c>
      <c r="AQ53" s="417">
        <f t="shared" si="19"/>
        <v>306000.7849013462</v>
      </c>
      <c r="AR53" s="417">
        <f t="shared" si="19"/>
        <v>308022.87008420948</v>
      </c>
    </row>
    <row r="54" spans="1:44" x14ac:dyDescent="0.2">
      <c r="A54" s="380"/>
      <c r="B54" s="380"/>
      <c r="C54" s="11"/>
      <c r="D54" s="440"/>
      <c r="E54" s="380"/>
      <c r="F54" s="417"/>
      <c r="G54" s="417"/>
      <c r="H54" s="417"/>
      <c r="I54" s="417"/>
      <c r="J54" s="417"/>
      <c r="K54" s="417"/>
      <c r="L54" s="417"/>
      <c r="M54" s="417"/>
      <c r="N54" s="417"/>
      <c r="O54" s="417"/>
      <c r="P54" s="417"/>
      <c r="Q54" s="417"/>
      <c r="R54" s="417"/>
      <c r="S54" s="417"/>
      <c r="T54" s="417"/>
      <c r="U54" s="417"/>
      <c r="V54" s="417"/>
      <c r="W54" s="417"/>
      <c r="X54" s="417"/>
      <c r="Y54" s="417"/>
      <c r="Z54" s="417"/>
      <c r="AA54" s="417"/>
      <c r="AB54" s="417"/>
      <c r="AC54" s="417"/>
      <c r="AD54" s="417"/>
      <c r="AE54" s="417"/>
      <c r="AF54" s="417"/>
      <c r="AG54" s="417"/>
      <c r="AH54" s="417"/>
      <c r="AI54" s="417"/>
      <c r="AJ54" s="417"/>
      <c r="AK54" s="417"/>
      <c r="AL54" s="417"/>
      <c r="AM54" s="417"/>
      <c r="AN54" s="417"/>
      <c r="AO54" s="417"/>
      <c r="AP54" s="417"/>
      <c r="AQ54" s="417"/>
      <c r="AR54" s="417"/>
    </row>
    <row r="55" spans="1:44" x14ac:dyDescent="0.2">
      <c r="A55" s="380"/>
      <c r="B55" s="380"/>
      <c r="C55" s="52"/>
      <c r="D55" s="440"/>
      <c r="E55" s="380"/>
      <c r="F55" s="417"/>
      <c r="G55" s="417"/>
      <c r="H55" s="417"/>
      <c r="I55" s="417"/>
      <c r="J55" s="417"/>
      <c r="K55" s="417"/>
      <c r="L55" s="417"/>
      <c r="M55" s="417"/>
      <c r="N55" s="417"/>
      <c r="O55" s="417"/>
      <c r="P55" s="417"/>
      <c r="Q55" s="417"/>
      <c r="R55" s="417"/>
      <c r="S55" s="417"/>
      <c r="T55" s="417"/>
      <c r="U55" s="417"/>
      <c r="V55" s="417"/>
      <c r="W55" s="417"/>
      <c r="X55" s="417"/>
      <c r="Y55" s="417"/>
      <c r="Z55" s="417"/>
      <c r="AA55" s="417"/>
      <c r="AB55" s="417"/>
      <c r="AC55" s="417"/>
      <c r="AD55" s="417"/>
      <c r="AE55" s="417"/>
      <c r="AF55" s="417"/>
      <c r="AG55" s="417"/>
      <c r="AH55" s="417"/>
      <c r="AI55" s="417"/>
      <c r="AJ55" s="417"/>
      <c r="AK55" s="417"/>
      <c r="AL55" s="417"/>
      <c r="AM55" s="417"/>
      <c r="AN55" s="417"/>
      <c r="AO55" s="417"/>
      <c r="AP55" s="417"/>
      <c r="AQ55" s="417"/>
      <c r="AR55" s="417"/>
    </row>
    <row r="56" spans="1:44" s="4" customFormat="1" x14ac:dyDescent="0.2">
      <c r="A56" s="449" t="s">
        <v>296</v>
      </c>
      <c r="B56" s="449"/>
      <c r="C56" s="8"/>
      <c r="D56" s="450"/>
      <c r="E56" s="450"/>
      <c r="F56" s="450"/>
      <c r="G56" s="450"/>
      <c r="H56" s="450"/>
      <c r="I56" s="450"/>
      <c r="J56" s="450"/>
      <c r="K56" s="450"/>
      <c r="L56" s="450"/>
      <c r="M56" s="450"/>
      <c r="N56" s="450"/>
      <c r="O56" s="450"/>
      <c r="P56" s="450"/>
      <c r="Q56" s="450"/>
      <c r="R56" s="450"/>
      <c r="S56" s="450"/>
      <c r="T56" s="450"/>
      <c r="U56" s="450"/>
      <c r="V56" s="450"/>
      <c r="W56" s="450"/>
      <c r="X56" s="450"/>
      <c r="Y56" s="450"/>
      <c r="Z56" s="450"/>
      <c r="AA56" s="450"/>
      <c r="AB56" s="450"/>
      <c r="AC56" s="450"/>
      <c r="AD56" s="450"/>
      <c r="AE56" s="450"/>
      <c r="AF56" s="450"/>
      <c r="AG56" s="450"/>
      <c r="AH56" s="450"/>
      <c r="AI56" s="450"/>
      <c r="AJ56" s="450"/>
      <c r="AK56" s="450"/>
      <c r="AL56" s="450"/>
      <c r="AM56" s="450"/>
      <c r="AN56" s="450"/>
      <c r="AO56" s="450"/>
      <c r="AP56" s="450"/>
      <c r="AQ56" s="450"/>
      <c r="AR56" s="450"/>
    </row>
    <row r="57" spans="1:44" ht="15" x14ac:dyDescent="0.25">
      <c r="A57" s="2" t="s">
        <v>297</v>
      </c>
      <c r="B57" s="380"/>
      <c r="C57" s="380"/>
      <c r="D57" s="380"/>
      <c r="E57" s="380"/>
      <c r="F57" s="417"/>
      <c r="G57" s="417"/>
      <c r="H57" s="417"/>
      <c r="I57" s="417"/>
      <c r="J57" s="417"/>
      <c r="K57" s="417"/>
      <c r="L57" s="417"/>
      <c r="M57" s="417"/>
      <c r="N57" s="417"/>
      <c r="O57" s="417"/>
      <c r="P57" s="417"/>
      <c r="Q57" s="417"/>
      <c r="R57" s="417"/>
      <c r="S57" s="417"/>
      <c r="T57" s="417"/>
      <c r="U57" s="417"/>
      <c r="V57" s="417"/>
      <c r="W57" s="417"/>
      <c r="X57" s="417"/>
      <c r="Y57" s="417"/>
      <c r="Z57" s="417"/>
      <c r="AA57" s="417"/>
      <c r="AB57" s="417"/>
      <c r="AC57" s="417"/>
      <c r="AD57" s="417"/>
      <c r="AE57" s="417"/>
      <c r="AF57" s="417"/>
      <c r="AG57" s="417"/>
      <c r="AH57" s="417"/>
      <c r="AI57" s="417"/>
      <c r="AJ57" s="417"/>
      <c r="AK57" s="417"/>
      <c r="AL57" s="417"/>
      <c r="AM57" s="417"/>
      <c r="AN57" s="417"/>
      <c r="AO57" s="417"/>
      <c r="AP57" s="417"/>
      <c r="AQ57" s="417"/>
      <c r="AR57" s="417"/>
    </row>
    <row r="58" spans="1:44" x14ac:dyDescent="0.2">
      <c r="A58" s="380"/>
      <c r="B58" s="380" t="s">
        <v>252</v>
      </c>
      <c r="C58" s="52" t="s">
        <v>86</v>
      </c>
      <c r="D58" s="440">
        <f>SUM(F58:AR58)</f>
        <v>5286075.6813091263</v>
      </c>
      <c r="E58" s="380"/>
      <c r="F58" s="417">
        <f>F$37*F15*F$11</f>
        <v>0</v>
      </c>
      <c r="G58" s="417">
        <f t="shared" ref="G58:AR58" si="20">(G$53-G$25)*G15*G$11</f>
        <v>0</v>
      </c>
      <c r="H58" s="417">
        <f t="shared" si="20"/>
        <v>0</v>
      </c>
      <c r="I58" s="417">
        <f t="shared" si="20"/>
        <v>0</v>
      </c>
      <c r="J58" s="417">
        <f t="shared" si="20"/>
        <v>0</v>
      </c>
      <c r="K58" s="417">
        <f t="shared" si="20"/>
        <v>0</v>
      </c>
      <c r="L58" s="417">
        <f t="shared" si="20"/>
        <v>0</v>
      </c>
      <c r="M58" s="417">
        <f t="shared" si="20"/>
        <v>0</v>
      </c>
      <c r="N58" s="417">
        <f t="shared" si="20"/>
        <v>0</v>
      </c>
      <c r="O58" s="417">
        <f t="shared" si="20"/>
        <v>183956.91083380074</v>
      </c>
      <c r="P58" s="417">
        <f t="shared" si="20"/>
        <v>219030.43303057499</v>
      </c>
      <c r="Q58" s="417">
        <f t="shared" si="20"/>
        <v>254751.1378104109</v>
      </c>
      <c r="R58" s="417">
        <f t="shared" si="20"/>
        <v>256677.25924469426</v>
      </c>
      <c r="S58" s="417">
        <f t="shared" si="20"/>
        <v>258606.82852424527</v>
      </c>
      <c r="T58" s="417">
        <f t="shared" si="20"/>
        <v>260539.86426485609</v>
      </c>
      <c r="U58" s="417">
        <f t="shared" si="20"/>
        <v>262476.3851828301</v>
      </c>
      <c r="V58" s="417">
        <f t="shared" si="20"/>
        <v>264416.41009552474</v>
      </c>
      <c r="W58" s="417">
        <f t="shared" si="20"/>
        <v>266359.95792189729</v>
      </c>
      <c r="X58" s="417">
        <f t="shared" si="20"/>
        <v>268307.04768305301</v>
      </c>
      <c r="Y58" s="417">
        <f t="shared" si="20"/>
        <v>270257.69850279723</v>
      </c>
      <c r="Z58" s="417">
        <f t="shared" si="20"/>
        <v>272211.92960818938</v>
      </c>
      <c r="AA58" s="417">
        <f t="shared" si="20"/>
        <v>274169.76033010066</v>
      </c>
      <c r="AB58" s="417">
        <f t="shared" si="20"/>
        <v>276131.21010377479</v>
      </c>
      <c r="AC58" s="417">
        <f t="shared" si="20"/>
        <v>278096.29846939084</v>
      </c>
      <c r="AD58" s="417">
        <f t="shared" si="20"/>
        <v>280065.04507263086</v>
      </c>
      <c r="AE58" s="417">
        <f t="shared" si="20"/>
        <v>282037.46966524841</v>
      </c>
      <c r="AF58" s="417">
        <f t="shared" si="20"/>
        <v>284013.59210564202</v>
      </c>
      <c r="AG58" s="417">
        <f t="shared" si="20"/>
        <v>285993.43235943071</v>
      </c>
      <c r="AH58" s="417">
        <f t="shared" si="20"/>
        <v>287977.01050003315</v>
      </c>
      <c r="AI58" s="417">
        <f t="shared" si="20"/>
        <v>0</v>
      </c>
      <c r="AJ58" s="417">
        <f t="shared" si="20"/>
        <v>0</v>
      </c>
      <c r="AK58" s="417">
        <f t="shared" si="20"/>
        <v>0</v>
      </c>
      <c r="AL58" s="417">
        <f t="shared" si="20"/>
        <v>0</v>
      </c>
      <c r="AM58" s="417">
        <f t="shared" si="20"/>
        <v>0</v>
      </c>
      <c r="AN58" s="417">
        <f t="shared" si="20"/>
        <v>0</v>
      </c>
      <c r="AO58" s="417">
        <f t="shared" si="20"/>
        <v>0</v>
      </c>
      <c r="AP58" s="417">
        <f t="shared" si="20"/>
        <v>0</v>
      </c>
      <c r="AQ58" s="417">
        <f t="shared" si="20"/>
        <v>0</v>
      </c>
      <c r="AR58" s="417">
        <f t="shared" si="20"/>
        <v>0</v>
      </c>
    </row>
    <row r="59" spans="1:44" x14ac:dyDescent="0.2">
      <c r="A59" s="380"/>
      <c r="B59" s="380" t="str">
        <f>Inputs!$C$30</f>
        <v>2% Discount Factor</v>
      </c>
      <c r="C59" s="52" t="s">
        <v>86</v>
      </c>
      <c r="D59" s="440">
        <f>SUM(F59:AR59)</f>
        <v>4037895.9951035706</v>
      </c>
      <c r="E59" s="380"/>
      <c r="F59" s="417">
        <f>F$37*F16*F$11</f>
        <v>0</v>
      </c>
      <c r="G59" s="417">
        <f t="shared" ref="G59:AR59" si="21">(G$53-G$25)*G16*G$11</f>
        <v>0</v>
      </c>
      <c r="H59" s="417">
        <f t="shared" si="21"/>
        <v>0</v>
      </c>
      <c r="I59" s="417">
        <f t="shared" si="21"/>
        <v>0</v>
      </c>
      <c r="J59" s="417">
        <f t="shared" si="21"/>
        <v>0</v>
      </c>
      <c r="K59" s="417">
        <f t="shared" si="21"/>
        <v>0</v>
      </c>
      <c r="L59" s="417">
        <f t="shared" si="21"/>
        <v>0</v>
      </c>
      <c r="M59" s="417">
        <f t="shared" si="21"/>
        <v>0</v>
      </c>
      <c r="N59" s="417">
        <f t="shared" si="21"/>
        <v>0</v>
      </c>
      <c r="O59" s="417">
        <f t="shared" si="21"/>
        <v>169947.75065977412</v>
      </c>
      <c r="P59" s="417">
        <f t="shared" si="21"/>
        <v>198382.61148617984</v>
      </c>
      <c r="Q59" s="417">
        <f t="shared" si="21"/>
        <v>226211.71995501564</v>
      </c>
      <c r="R59" s="417">
        <f t="shared" si="21"/>
        <v>223453.00065419092</v>
      </c>
      <c r="S59" s="417">
        <f t="shared" si="21"/>
        <v>220718.43806945565</v>
      </c>
      <c r="T59" s="417">
        <f t="shared" si="21"/>
        <v>218008.10339336601</v>
      </c>
      <c r="U59" s="417">
        <f t="shared" si="21"/>
        <v>215322.05634211109</v>
      </c>
      <c r="V59" s="417">
        <f t="shared" si="21"/>
        <v>212660.34556956432</v>
      </c>
      <c r="W59" s="417">
        <f t="shared" si="21"/>
        <v>210023.00906963318</v>
      </c>
      <c r="X59" s="417">
        <f t="shared" si="21"/>
        <v>207410.0745672053</v>
      </c>
      <c r="Y59" s="417">
        <f t="shared" si="21"/>
        <v>204821.55989798196</v>
      </c>
      <c r="Z59" s="417">
        <f t="shared" si="21"/>
        <v>202257.47337748265</v>
      </c>
      <c r="AA59" s="417">
        <f t="shared" si="21"/>
        <v>199717.8141594968</v>
      </c>
      <c r="AB59" s="417">
        <f t="shared" si="21"/>
        <v>197202.57258425534</v>
      </c>
      <c r="AC59" s="417">
        <f t="shared" si="21"/>
        <v>194711.73051658212</v>
      </c>
      <c r="AD59" s="417">
        <f t="shared" si="21"/>
        <v>192245.26167428662</v>
      </c>
      <c r="AE59" s="417">
        <f t="shared" si="21"/>
        <v>189803.13194704562</v>
      </c>
      <c r="AF59" s="417">
        <f t="shared" si="21"/>
        <v>187385.29970602164</v>
      </c>
      <c r="AG59" s="417">
        <f t="shared" si="21"/>
        <v>184991.71610445523</v>
      </c>
      <c r="AH59" s="417">
        <f t="shared" si="21"/>
        <v>182622.32536946618</v>
      </c>
      <c r="AI59" s="417">
        <f t="shared" si="21"/>
        <v>0</v>
      </c>
      <c r="AJ59" s="417">
        <f t="shared" si="21"/>
        <v>0</v>
      </c>
      <c r="AK59" s="417">
        <f t="shared" si="21"/>
        <v>0</v>
      </c>
      <c r="AL59" s="417">
        <f t="shared" si="21"/>
        <v>0</v>
      </c>
      <c r="AM59" s="417">
        <f t="shared" si="21"/>
        <v>0</v>
      </c>
      <c r="AN59" s="417">
        <f t="shared" si="21"/>
        <v>0</v>
      </c>
      <c r="AO59" s="417">
        <f t="shared" si="21"/>
        <v>0</v>
      </c>
      <c r="AP59" s="417">
        <f t="shared" si="21"/>
        <v>0</v>
      </c>
      <c r="AQ59" s="417">
        <f t="shared" si="21"/>
        <v>0</v>
      </c>
      <c r="AR59" s="417">
        <f t="shared" si="21"/>
        <v>0</v>
      </c>
    </row>
    <row r="60" spans="1:44" x14ac:dyDescent="0.2">
      <c r="A60" s="380"/>
      <c r="B60" s="380" t="str">
        <f>Inputs!$C$31</f>
        <v>3.1% Discount Factor</v>
      </c>
      <c r="C60" s="52" t="s">
        <v>86</v>
      </c>
      <c r="D60" s="440">
        <f>SUM(F60:AR60)</f>
        <v>3508111.8678618199</v>
      </c>
      <c r="E60" s="380"/>
      <c r="F60" s="417">
        <f>F$37*F17*F$11</f>
        <v>0</v>
      </c>
      <c r="G60" s="417">
        <f t="shared" ref="G60:AR60" si="22">(G$53-G$25)*G17*G$11</f>
        <v>0</v>
      </c>
      <c r="H60" s="417">
        <f t="shared" si="22"/>
        <v>0</v>
      </c>
      <c r="I60" s="417">
        <f t="shared" si="22"/>
        <v>0</v>
      </c>
      <c r="J60" s="417">
        <f t="shared" si="22"/>
        <v>0</v>
      </c>
      <c r="K60" s="417">
        <f t="shared" si="22"/>
        <v>0</v>
      </c>
      <c r="L60" s="417">
        <f t="shared" si="22"/>
        <v>0</v>
      </c>
      <c r="M60" s="417">
        <f t="shared" si="22"/>
        <v>0</v>
      </c>
      <c r="N60" s="417">
        <f t="shared" si="22"/>
        <v>0</v>
      </c>
      <c r="O60" s="417">
        <f t="shared" si="22"/>
        <v>162810.1388852456</v>
      </c>
      <c r="P60" s="417">
        <f t="shared" si="22"/>
        <v>188023.06821950787</v>
      </c>
      <c r="Q60" s="417">
        <f t="shared" si="22"/>
        <v>212111.46361351659</v>
      </c>
      <c r="R60" s="417">
        <f t="shared" si="22"/>
        <v>207289.22906036183</v>
      </c>
      <c r="S60" s="417">
        <f t="shared" si="22"/>
        <v>202567.91873042154</v>
      </c>
      <c r="T60" s="417">
        <f t="shared" si="22"/>
        <v>197945.75608212146</v>
      </c>
      <c r="U60" s="417">
        <f t="shared" si="22"/>
        <v>193420.98182941621</v>
      </c>
      <c r="V60" s="417">
        <f t="shared" si="22"/>
        <v>188991.85446889894</v>
      </c>
      <c r="W60" s="417">
        <f t="shared" si="22"/>
        <v>184656.65076063867</v>
      </c>
      <c r="X60" s="417">
        <f t="shared" si="22"/>
        <v>180413.66616502675</v>
      </c>
      <c r="Y60" s="417">
        <f t="shared" si="22"/>
        <v>176261.21523781779</v>
      </c>
      <c r="Z60" s="417">
        <f t="shared" si="22"/>
        <v>172197.63198546006</v>
      </c>
      <c r="AA60" s="417">
        <f t="shared" si="22"/>
        <v>168221.27018272257</v>
      </c>
      <c r="AB60" s="417">
        <f t="shared" si="22"/>
        <v>164330.50365454241</v>
      </c>
      <c r="AC60" s="417">
        <f t="shared" si="22"/>
        <v>160523.72652393256</v>
      </c>
      <c r="AD60" s="417">
        <f t="shared" si="22"/>
        <v>156799.3534277172</v>
      </c>
      <c r="AE60" s="417">
        <f t="shared" si="22"/>
        <v>153155.81970178091</v>
      </c>
      <c r="AF60" s="417">
        <f t="shared" si="22"/>
        <v>149591.58153745127</v>
      </c>
      <c r="AG60" s="417">
        <f t="shared" si="22"/>
        <v>146105.11611056188</v>
      </c>
      <c r="AH60" s="417">
        <f t="shared" si="22"/>
        <v>142694.92168467774</v>
      </c>
      <c r="AI60" s="417">
        <f t="shared" si="22"/>
        <v>0</v>
      </c>
      <c r="AJ60" s="417">
        <f t="shared" si="22"/>
        <v>0</v>
      </c>
      <c r="AK60" s="417">
        <f t="shared" si="22"/>
        <v>0</v>
      </c>
      <c r="AL60" s="417">
        <f t="shared" si="22"/>
        <v>0</v>
      </c>
      <c r="AM60" s="417">
        <f t="shared" si="22"/>
        <v>0</v>
      </c>
      <c r="AN60" s="417">
        <f t="shared" si="22"/>
        <v>0</v>
      </c>
      <c r="AO60" s="417">
        <f t="shared" si="22"/>
        <v>0</v>
      </c>
      <c r="AP60" s="417">
        <f t="shared" si="22"/>
        <v>0</v>
      </c>
      <c r="AQ60" s="417">
        <f t="shared" si="22"/>
        <v>0</v>
      </c>
      <c r="AR60" s="417">
        <f t="shared" si="22"/>
        <v>0</v>
      </c>
    </row>
    <row r="61" spans="1:44" x14ac:dyDescent="0.2">
      <c r="A61" s="380"/>
      <c r="B61" s="380"/>
      <c r="C61" s="52"/>
      <c r="D61" s="440"/>
      <c r="E61" s="380"/>
      <c r="F61" s="417"/>
      <c r="G61" s="417"/>
      <c r="H61" s="417"/>
      <c r="I61" s="417"/>
      <c r="J61" s="417"/>
      <c r="K61" s="417"/>
      <c r="L61" s="417"/>
      <c r="M61" s="417"/>
      <c r="N61" s="417"/>
      <c r="O61" s="417"/>
      <c r="P61" s="417"/>
      <c r="Q61" s="417"/>
      <c r="R61" s="417"/>
      <c r="S61" s="417"/>
      <c r="T61" s="417"/>
      <c r="U61" s="417"/>
      <c r="V61" s="417"/>
      <c r="W61" s="417"/>
      <c r="X61" s="417"/>
      <c r="Y61" s="417"/>
      <c r="Z61" s="417"/>
      <c r="AA61" s="417"/>
      <c r="AB61" s="417"/>
      <c r="AC61" s="417"/>
      <c r="AD61" s="417"/>
      <c r="AE61" s="417"/>
      <c r="AF61" s="417"/>
      <c r="AG61" s="417"/>
      <c r="AH61" s="417"/>
      <c r="AI61" s="417"/>
      <c r="AJ61" s="417"/>
      <c r="AK61" s="417"/>
      <c r="AL61" s="417"/>
      <c r="AM61" s="417"/>
      <c r="AN61" s="417"/>
      <c r="AO61" s="417"/>
      <c r="AP61" s="417"/>
      <c r="AQ61" s="417"/>
      <c r="AR61" s="417"/>
    </row>
  </sheetData>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5060e13-48ab-4f65-89d9-584b8a076273">
      <Terms xmlns="http://schemas.microsoft.com/office/infopath/2007/PartnerControls"/>
    </lcf76f155ced4ddcb4097134ff3c332f>
    <TaxCatchAll xmlns="10195425-0631-417d-9576-672d1304af4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2EC2B4E5301104E93F4699810BBBBF9" ma:contentTypeVersion="18" ma:contentTypeDescription="Create a new document." ma:contentTypeScope="" ma:versionID="d6693958830e04eaecded991684a3afd">
  <xsd:schema xmlns:xsd="http://www.w3.org/2001/XMLSchema" xmlns:xs="http://www.w3.org/2001/XMLSchema" xmlns:p="http://schemas.microsoft.com/office/2006/metadata/properties" xmlns:ns2="a5060e13-48ab-4f65-89d9-584b8a076273" xmlns:ns3="10195425-0631-417d-9576-672d1304af43" targetNamespace="http://schemas.microsoft.com/office/2006/metadata/properties" ma:root="true" ma:fieldsID="24e6518201d8910a423ec3cde12fc710" ns2:_="" ns3:_="">
    <xsd:import namespace="a5060e13-48ab-4f65-89d9-584b8a076273"/>
    <xsd:import namespace="10195425-0631-417d-9576-672d1304af43"/>
    <xsd:element name="properties">
      <xsd:complexType>
        <xsd:sequence>
          <xsd:element name="documentManagement">
            <xsd:complexType>
              <xsd:all>
                <xsd:element ref="ns2:MediaServiceMetadata" minOccurs="0"/>
                <xsd:element ref="ns2:MediaServiceFastMetadata" minOccurs="0"/>
                <xsd:element ref="ns3:TaxCatchAll" minOccurs="0"/>
                <xsd:element ref="ns2:MediaServiceOCR" minOccurs="0"/>
                <xsd:element ref="ns2:MediaServiceGenerationTime" minOccurs="0"/>
                <xsd:element ref="ns2:MediaServiceEventHashCode" minOccurs="0"/>
                <xsd:element ref="ns2:lcf76f155ced4ddcb4097134ff3c332f" minOccurs="0"/>
                <xsd:element ref="ns2:MediaServiceDateTaken" minOccurs="0"/>
                <xsd:element ref="ns3:SharedWithUsers" minOccurs="0"/>
                <xsd:element ref="ns3:SharedWithDetails" minOccurs="0"/>
                <xsd:element ref="ns2:MediaLengthInSecond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060e13-48ab-4f65-89d9-584b8a0762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309bf2f-0431-460d-a93a-990d633b9c5f"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0195425-0631-417d-9576-672d1304af43"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d0435a4b-f4c4-4eea-81a5-09f5cecfe90d}" ma:internalName="TaxCatchAll" ma:showField="CatchAllData" ma:web="10195425-0631-417d-9576-672d1304af43">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32FA2BA-374F-4CA6-B087-C6568D24CE2A}">
  <ds:schemaRefs>
    <ds:schemaRef ds:uri="http://schemas.microsoft.com/sharepoint/v3/contenttype/forms"/>
  </ds:schemaRefs>
</ds:datastoreItem>
</file>

<file path=customXml/itemProps2.xml><?xml version="1.0" encoding="utf-8"?>
<ds:datastoreItem xmlns:ds="http://schemas.openxmlformats.org/officeDocument/2006/customXml" ds:itemID="{380CD73D-5AE9-4946-8573-CFE300572A6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4693D86-F94E-496C-9034-0282E750D0F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Summary</vt:lpstr>
      <vt:lpstr>Inputs</vt:lpstr>
      <vt:lpstr>Project Costs</vt:lpstr>
      <vt:lpstr>Traffic</vt:lpstr>
      <vt:lpstr>Safety</vt:lpstr>
      <vt:lpstr>Time Savings</vt:lpstr>
      <vt:lpstr>Emissions</vt:lpstr>
      <vt:lpstr>Veh Op Costs</vt:lpstr>
      <vt:lpstr>Pedestrian</vt:lpstr>
      <vt:lpstr>Induced Peds</vt:lpstr>
      <vt:lpstr>Bridge Hits</vt:lpstr>
      <vt:lpstr>Residual Value</vt:lpstr>
      <vt:lpstr>Report Tables</vt:lpstr>
      <vt:lpstr>References-&gt;</vt:lpstr>
      <vt:lpstr>REF USDOT BCA 2025 Guidlines</vt:lpstr>
      <vt:lpstr>REF Project Costs</vt:lpstr>
      <vt:lpstr>REF Traffic</vt:lpstr>
      <vt:lpstr>REF Fuel Prices</vt:lpstr>
      <vt:lpstr>REF Pedestrian</vt:lpstr>
      <vt:lpstr>REF Accidents</vt:lpstr>
      <vt:lpstr>REF Bridge Hits</vt:lpstr>
      <vt:lpstr>REF GDP Deflator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Bezanson, Matthew R. (Matt)</dc:creator>
  <cp:keywords/>
  <dc:description/>
  <cp:lastModifiedBy>Michael Flynn</cp:lastModifiedBy>
  <cp:revision/>
  <dcterms:created xsi:type="dcterms:W3CDTF">2022-04-08T16:18:05Z</dcterms:created>
  <dcterms:modified xsi:type="dcterms:W3CDTF">2025-01-30T21:48:56Z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0x01010022EC2B4E5301104E93F4699810BBBBF9</vt:lpwstr>
  </property>
  <property fmtid="{D5CDD505-2E9C-101B-9397-08002B2CF9AE}" pid="3" name="MSIP_Label_defa4170-0d19-0005-0004-bc88714345d2_Enabled">
    <vt:lpwstr>true</vt:lpwstr>
  </property>
  <property fmtid="{D5CDD505-2E9C-101B-9397-08002B2CF9AE}" pid="4" name="MSIP_Label_defa4170-0d19-0005-0004-bc88714345d2_SetDate">
    <vt:lpwstr>2024-12-20T17:01:50Z</vt:lpwstr>
  </property>
  <property fmtid="{D5CDD505-2E9C-101B-9397-08002B2CF9AE}" pid="5" name="MSIP_Label_defa4170-0d19-0005-0004-bc88714345d2_Method">
    <vt:lpwstr>Standard</vt:lpwstr>
  </property>
  <property fmtid="{D5CDD505-2E9C-101B-9397-08002B2CF9AE}" pid="6" name="MSIP_Label_defa4170-0d19-0005-0004-bc88714345d2_Name">
    <vt:lpwstr>defa4170-0d19-0005-0004-bc88714345d2</vt:lpwstr>
  </property>
  <property fmtid="{D5CDD505-2E9C-101B-9397-08002B2CF9AE}" pid="7" name="MSIP_Label_defa4170-0d19-0005-0004-bc88714345d2_SiteId">
    <vt:lpwstr>0588ae52-d1b3-49cb-8cff-f7efd2de46c2</vt:lpwstr>
  </property>
  <property fmtid="{D5CDD505-2E9C-101B-9397-08002B2CF9AE}" pid="8" name="MSIP_Label_defa4170-0d19-0005-0004-bc88714345d2_ActionId">
    <vt:lpwstr>1f435da6-1f6e-4438-bfb6-966f32c641d9</vt:lpwstr>
  </property>
  <property fmtid="{D5CDD505-2E9C-101B-9397-08002B2CF9AE}" pid="9" name="MSIP_Label_defa4170-0d19-0005-0004-bc88714345d2_ContentBits">
    <vt:lpwstr>0</vt:lpwstr>
  </property>
  <property fmtid="{D5CDD505-2E9C-101B-9397-08002B2CF9AE}" pid="10" name="MediaServiceImageTags">
    <vt:lpwstr/>
  </property>
</Properties>
</file>