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0"/>
  <workbookPr defaultThemeVersion="166925"/>
  <mc:AlternateContent xmlns:mc="http://schemas.openxmlformats.org/markup-compatibility/2006">
    <mc:Choice Requires="x15">
      <x15ac:absPath xmlns:x15ac="http://schemas.microsoft.com/office/spreadsheetml/2010/11/ac" url="https://garverengineers.sharepoint.com/sites/US-7581stSt.RAISEGrant-Transportation/Shared Documents/General/BCA Model/"/>
    </mc:Choice>
  </mc:AlternateContent>
  <xr:revisionPtr revIDLastSave="0" documentId="8_{7ECFCB28-29C2-41EE-8D12-E2A998364B0A}" xr6:coauthVersionLast="47" xr6:coauthVersionMax="47" xr10:uidLastSave="{00000000-0000-0000-0000-000000000000}"/>
  <bookViews>
    <workbookView xWindow="-120" yWindow="-120" windowWidth="29040" windowHeight="15720" tabRatio="749" xr2:uid="{F6349FBE-C7F5-42C3-BCA9-42AEFD032BBB}"/>
  </bookViews>
  <sheets>
    <sheet name="Summary" sheetId="2" r:id="rId1"/>
    <sheet name="Inputs" sheetId="1" r:id="rId2"/>
    <sheet name="Project Costs" sheetId="21" r:id="rId3"/>
    <sheet name="Traffic" sheetId="23" r:id="rId4"/>
    <sheet name="Safety" sheetId="24" r:id="rId5"/>
    <sheet name="Time Savings" sheetId="26" r:id="rId6"/>
    <sheet name="Emissions" sheetId="29" r:id="rId7"/>
    <sheet name="Veh Op Costs" sheetId="35" r:id="rId8"/>
    <sheet name="Pedestrian" sheetId="28" r:id="rId9"/>
    <sheet name="Bridge Hits" sheetId="33" r:id="rId10"/>
    <sheet name="Residual Value" sheetId="22" r:id="rId11"/>
    <sheet name="Report Tables" sheetId="10" r:id="rId12"/>
    <sheet name="References-&gt;" sheetId="14" r:id="rId13"/>
    <sheet name="REF USDOT BCA 2023 Guidlines" sheetId="17" r:id="rId14"/>
    <sheet name="REF Project Costs" sheetId="18" r:id="rId15"/>
    <sheet name="REF Traffic" sheetId="20" r:id="rId16"/>
    <sheet name="REF Pedestrian" sheetId="39" r:id="rId17"/>
    <sheet name="REF Accidents" sheetId="25" r:id="rId18"/>
    <sheet name="REF Bridge Hits" sheetId="32" r:id="rId19"/>
    <sheet name="REF GDP Deflator" sheetId="37" r:id="rId20"/>
    <sheet name="REF Fuel Prices" sheetId="36" r:id="rId21"/>
    <sheet name="REF Ped Path" sheetId="38" r:id="rId22"/>
  </sheets>
  <externalReferences>
    <externalReference r:id="rId23"/>
    <externalReference r:id="rId24"/>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1</definedName>
    <definedName name="_AtRisk_SimSetting_ReportOptionReportsFileType" hidden="1">1</definedName>
    <definedName name="_AtRisk_SimSetting_ReportOptionSelectiveQR" hidden="1">FALSE</definedName>
    <definedName name="_AtRisk_SimSetting_ReportsList" hidden="1">1</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_Fill" hidden="1">#REF!</definedName>
    <definedName name="_Key1" hidden="1">#REF!</definedName>
    <definedName name="_Key2" hidden="1">#REF!</definedName>
    <definedName name="_Order1" hidden="1">255</definedName>
    <definedName name="_Order2" hidden="1">255</definedName>
    <definedName name="_Sort" hidden="1">#REF!</definedName>
    <definedName name="AccidentCost_Fatality">[1]Inputs!$D$139</definedName>
    <definedName name="AccidentCost_Injury">[1]Inputs!$D$142</definedName>
    <definedName name="AccidentCost_PDO">[1]Inputs!$D$143</definedName>
    <definedName name="Annualization_Factor">[1]Inputs!$D$130</definedName>
    <definedName name="AutoDetour">[1]Inputs!#REF!</definedName>
    <definedName name="Avg_Veh_Occ">[1]Inputs!$D$128</definedName>
    <definedName name="BaseYear">[1]Inputs!$D$6</definedName>
    <definedName name="BIG" hidden="1">{#N/A,#N/A,FALSE,"Pricing";#N/A,#N/A,FALSE,"Summary";#N/A,#N/A,FALSE,"CompProd";#N/A,#N/A,FALSE,"CompJobhrs";#N/A,#N/A,FALSE,"Escalation";#N/A,#N/A,FALSE,"Contingency";#N/A,#N/A,FALSE,"GM";#N/A,#N/A,FALSE,"CompWage";#N/A,#N/A,FALSE,"costSum"}</definedName>
    <definedName name="BridgeLength">[1]Inputs!#REF!</definedName>
    <definedName name="CHUCK" hidden="1">{#N/A,#N/A,FALSE,"Pricing";#N/A,#N/A,FALSE,"Summary";#N/A,#N/A,FALSE,"CompProd";#N/A,#N/A,FALSE,"CompJobhrs";#N/A,#N/A,FALSE,"Escalation";#N/A,#N/A,FALSE,"Contingency";#N/A,#N/A,FALSE,"GM";#N/A,#N/A,FALSE,"CompWage";#N/A,#N/A,FALSE,"costSum"}</definedName>
    <definedName name="CMF_WidenLane">[1]Inputs!#REF!</definedName>
    <definedName name="CrashRate_Bridge">[1]Inputs!#REF!</definedName>
    <definedName name="CrashRate_Detour">[1]Inputs!#REF!</definedName>
    <definedName name="DamagedVeh_PDOcrash">[1]Inputs!$D$127</definedName>
    <definedName name="DeflatorRate" localSheetId="20">[1]Inputs!$D$13</definedName>
    <definedName name="DeflatorRate">[2]Inputs!$E$12</definedName>
    <definedName name="DetourLength">[1]Inputs!#REF!</definedName>
    <definedName name="DetourTime">[1]Inputs!#REF!</definedName>
    <definedName name="EmissionCost_Auto1">#REF!</definedName>
    <definedName name="EmissionCost_Auto2">#REF!</definedName>
    <definedName name="EmissionCost_Truck1">#REF!</definedName>
    <definedName name="EmissionCost_Truck2">#REF!</definedName>
    <definedName name="HTML_CodePage" hidden="1">1252</definedName>
    <definedName name="HTML_Control" hidden="1">{"'2-35'!$A$1:$M$48"}</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"C:\WINNT\Profiles\dmegret\Desktop\current tasks\nts2000\nts2000\HTML\Ch2_web\2-35.htm"</definedName>
    <definedName name="HTML_Title" hidden="1">"Table 2-35"</definedName>
    <definedName name="JANA" hidden="1">{#N/A,#N/A,FALSE,"Pricing";#N/A,#N/A,FALSE,"Summary";#N/A,#N/A,FALSE,"CompProd";#N/A,#N/A,FALSE,"CompJobhrs";#N/A,#N/A,FALSE,"Escalation";#N/A,#N/A,FALSE,"Contingency";#N/A,#N/A,FALSE,"GM";#N/A,#N/A,FALSE,"CompWage";#N/A,#N/A,FALSE,"costSum"}</definedName>
    <definedName name="NumberInjuryperCrash_Bridge">[1]Inputs!$D$126</definedName>
    <definedName name="NumberInjuryperCrash_Detour">[1]Inputs!#REF!</definedName>
    <definedName name="OperatingCost_Passenger">[1]Inputs!$D$145</definedName>
    <definedName name="OperatingCost_Trucks">[1]Inputs!$D$146</definedName>
    <definedName name="Pal_Workbook_GUID" hidden="1">"6UQPV5GY3NZ6N5DC9LK87FZI"</definedName>
    <definedName name="PercentFatal_Bridge">[1]Inputs!#REF!</definedName>
    <definedName name="PercentFatal_Detour">[1]Inputs!#REF!</definedName>
    <definedName name="PercentInjury_Bridge">[1]Inputs!#REF!</definedName>
    <definedName name="PercentInjury_Detour">[1]Inputs!#REF!</definedName>
    <definedName name="PercentPDO_Bridge">[1]Inputs!#REF!</definedName>
    <definedName name="PercentPDO_Detour">[1]Inputs!#REF!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SwapState" hidden="1">FALSE</definedName>
    <definedName name="RiskUpdateDisplay" hidden="1">FALSE</definedName>
    <definedName name="RiskUseDifferentSeedForEachSim" hidden="1">FALSE</definedName>
    <definedName name="RiskUseFixedSeed" hidden="1">TRUE</definedName>
    <definedName name="RiskUseMultipleCPUs" hidden="1">FALSE</definedName>
    <definedName name="RouteTime">[1]Inputs!#REF!</definedName>
    <definedName name="Services2" hidden="1">{#N/A,#N/A,FALSE,"Pricing";#N/A,#N/A,FALSE,"Summary";#N/A,#N/A,FALSE,"CompProd";#N/A,#N/A,FALSE,"CompJobhrs";#N/A,#N/A,FALSE,"Escalation";#N/A,#N/A,FALSE,"Contingency";#N/A,#N/A,FALSE,"GM";#N/A,#N/A,FALSE,"CompWage";#N/A,#N/A,FALSE,"costSum"}</definedName>
    <definedName name="ShareTruck">[1]Inputs!$D$27</definedName>
    <definedName name="temp" hidden="1">{#N/A,#N/A,FALSE,"Pricing";#N/A,#N/A,FALSE,"Summary";#N/A,#N/A,FALSE,"CompProd";#N/A,#N/A,FALSE,"CompJobhrs";#N/A,#N/A,FALSE,"Escalation";#N/A,#N/A,FALSE,"Contingency";#N/A,#N/A,FALSE,"GM";#N/A,#N/A,FALSE,"CompWage";#N/A,#N/A,FALSE,"costSum"}</definedName>
    <definedName name="TimeValue_truck">[1]Inputs!$D$136</definedName>
    <definedName name="TruckDetour">[1]Inputs!#REF!</definedName>
    <definedName name="tweet_784481064303591424" localSheetId="18">'REF Bridge Hits'!#REF!</definedName>
    <definedName name="tweet_784481064303591424" localSheetId="21">'REF Ped Path'!#REF!</definedName>
    <definedName name="tweet_784481374522793985" localSheetId="18">'REF Bridge Hits'!#REF!</definedName>
    <definedName name="tweet_784481374522793985" localSheetId="21">'REF Ped Path'!#REF!</definedName>
    <definedName name="tweet_784483338082017280" localSheetId="18">'REF Bridge Hits'!#REF!</definedName>
    <definedName name="tweet_784483338082017280" localSheetId="21">'REF Ped Path'!#REF!</definedName>
    <definedName name="wrn.all." hidden="1">{"sandu",#N/A,FALSE,"sandu";"flow",#N/A,FALSE,"base";"debt",#N/A,FALSE,"base";"subdebt",#N/A,FALSE,"subdebt";"operating",#N/A,FALSE,"base";"stress1",#N/A,FALSE,"stress1";"stress2",#N/A,FALSE,"stress2"}</definedName>
    <definedName name="wrn.ESTIMATE." hidden="1">{#N/A,#N/A,FALSE,"SUM";#N/A,#N/A,FALSE,"MECH.";#N/A,#N/A,FALSE,"PIPE";#N/A,#N/A,FALSE,"ELECT";#N/A,#N/A,FALSE,"PR CONT";#N/A,#N/A,FALSE,"STRUCT"}</definedName>
    <definedName name="wrn.Labor._.Cost._.Workbook." hidden="1">{#N/A,#N/A,FALSE,"RATES";#N/A,#N/A,FALSE,"LOADED RATES"}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4" i="10" l="1"/>
  <c r="AI23" i="10"/>
  <c r="D15" i="18" l="1"/>
  <c r="D12" i="18"/>
  <c r="D7" i="18"/>
  <c r="D4" i="18"/>
  <c r="B37" i="1"/>
  <c r="D19" i="18"/>
  <c r="D11" i="18" s="1"/>
  <c r="Q71" i="10"/>
  <c r="O71" i="10"/>
  <c r="N71" i="10"/>
  <c r="Q70" i="10"/>
  <c r="O70" i="10"/>
  <c r="N70" i="10"/>
  <c r="Q66" i="10"/>
  <c r="O66" i="10"/>
  <c r="Q65" i="10"/>
  <c r="O65" i="10"/>
  <c r="Q64" i="10"/>
  <c r="O64" i="10"/>
  <c r="Q63" i="10"/>
  <c r="P63" i="10"/>
  <c r="O63" i="10"/>
  <c r="N65" i="10"/>
  <c r="N64" i="10"/>
  <c r="N63" i="10"/>
  <c r="O54" i="10"/>
  <c r="Y42" i="10"/>
  <c r="X42" i="10"/>
  <c r="W42" i="10"/>
  <c r="V42" i="10"/>
  <c r="Q15" i="10"/>
  <c r="Q39" i="10"/>
  <c r="P39" i="10"/>
  <c r="O39" i="10"/>
  <c r="N39" i="10"/>
  <c r="Q38" i="10"/>
  <c r="P38" i="10"/>
  <c r="O38" i="10"/>
  <c r="N38" i="10"/>
  <c r="Q37" i="10"/>
  <c r="P37" i="10"/>
  <c r="O37" i="10"/>
  <c r="N37" i="10"/>
  <c r="Q58" i="10"/>
  <c r="O58" i="10"/>
  <c r="N58" i="10"/>
  <c r="O57" i="10"/>
  <c r="N57" i="10"/>
  <c r="Q56" i="10"/>
  <c r="P56" i="10"/>
  <c r="O56" i="10"/>
  <c r="N56" i="10"/>
  <c r="Q55" i="10"/>
  <c r="O55" i="10"/>
  <c r="N55" i="10"/>
  <c r="Q54" i="10"/>
  <c r="N54" i="10"/>
  <c r="P53" i="10"/>
  <c r="O53" i="10"/>
  <c r="N53" i="10"/>
  <c r="P52" i="10"/>
  <c r="O52" i="10"/>
  <c r="N52" i="10"/>
  <c r="P51" i="10"/>
  <c r="O51" i="10"/>
  <c r="N51" i="10"/>
  <c r="AI22" i="10"/>
  <c r="AI21" i="10"/>
  <c r="AI20" i="10"/>
  <c r="AI19" i="10"/>
  <c r="AI18" i="10"/>
  <c r="AI16" i="10"/>
  <c r="AI17" i="10"/>
  <c r="E51" i="1"/>
  <c r="Y19" i="10"/>
  <c r="X19" i="10"/>
  <c r="W19" i="10"/>
  <c r="V19" i="10"/>
  <c r="Y18" i="10"/>
  <c r="X18" i="10"/>
  <c r="W18" i="10"/>
  <c r="V18" i="10"/>
  <c r="Y17" i="10"/>
  <c r="X17" i="10"/>
  <c r="W17" i="10"/>
  <c r="V17" i="10"/>
  <c r="V16" i="10"/>
  <c r="W16" i="10"/>
  <c r="X16" i="10"/>
  <c r="Y16" i="10"/>
  <c r="X15" i="10"/>
  <c r="V15" i="10"/>
  <c r="B20" i="1"/>
  <c r="B53" i="1"/>
  <c r="B93" i="1"/>
  <c r="E87" i="1"/>
  <c r="E86" i="1" s="1"/>
  <c r="D26" i="26" s="1"/>
  <c r="E88" i="1"/>
  <c r="D27" i="26" s="1"/>
  <c r="E85" i="1"/>
  <c r="D25" i="26" s="1"/>
  <c r="E84" i="1"/>
  <c r="D24" i="26" s="1"/>
  <c r="E92" i="1"/>
  <c r="D73" i="26" s="1"/>
  <c r="E90" i="1"/>
  <c r="D71" i="26" s="1"/>
  <c r="E91" i="1"/>
  <c r="D72" i="26" s="1"/>
  <c r="E94" i="1"/>
  <c r="D74" i="26" s="1"/>
  <c r="E52" i="1"/>
  <c r="B139" i="1"/>
  <c r="E18" i="1"/>
  <c r="E138" i="1"/>
  <c r="Q21" i="10"/>
  <c r="O21" i="10"/>
  <c r="N21" i="10"/>
  <c r="P15" i="10"/>
  <c r="O15" i="10"/>
  <c r="N15" i="10"/>
  <c r="Q20" i="10"/>
  <c r="O20" i="10"/>
  <c r="Q19" i="10"/>
  <c r="O19" i="10"/>
  <c r="Q18" i="10"/>
  <c r="O18" i="10"/>
  <c r="Q17" i="10"/>
  <c r="O17" i="10"/>
  <c r="Q16" i="10"/>
  <c r="O16" i="10"/>
  <c r="N20" i="10"/>
  <c r="N19" i="10"/>
  <c r="I39" i="10"/>
  <c r="I38" i="10"/>
  <c r="I37" i="10"/>
  <c r="I36" i="10"/>
  <c r="I35" i="10"/>
  <c r="I34" i="10"/>
  <c r="I33" i="10"/>
  <c r="I32" i="10"/>
  <c r="I26" i="10"/>
  <c r="A1" i="1"/>
  <c r="F36" i="32"/>
  <c r="F34" i="32"/>
  <c r="E133" i="1"/>
  <c r="D53" i="35" s="1"/>
  <c r="E131" i="1"/>
  <c r="D51" i="35" s="1"/>
  <c r="E129" i="1"/>
  <c r="D26" i="35" s="1"/>
  <c r="E127" i="1"/>
  <c r="D24" i="35" s="1"/>
  <c r="E136" i="1"/>
  <c r="D32" i="23" s="1"/>
  <c r="D20" i="39"/>
  <c r="D21" i="39" s="1"/>
  <c r="C7" i="39"/>
  <c r="E137" i="1" s="1"/>
  <c r="D33" i="23" s="1"/>
  <c r="C9" i="1"/>
  <c r="C6" i="1"/>
  <c r="B20" i="18"/>
  <c r="B16" i="18" s="1"/>
  <c r="H20" i="18"/>
  <c r="H9" i="18" s="1"/>
  <c r="G20" i="18"/>
  <c r="G14" i="18" s="1"/>
  <c r="F20" i="18"/>
  <c r="F11" i="18" s="1"/>
  <c r="E20" i="18"/>
  <c r="E16" i="18" s="1"/>
  <c r="E50" i="37"/>
  <c r="E49" i="37"/>
  <c r="E48" i="37"/>
  <c r="E47" i="37"/>
  <c r="E46" i="37"/>
  <c r="E45" i="37"/>
  <c r="E44" i="37"/>
  <c r="E43" i="37"/>
  <c r="E42" i="37"/>
  <c r="E41" i="37"/>
  <c r="E40" i="37"/>
  <c r="E39" i="37"/>
  <c r="E38" i="37"/>
  <c r="E37" i="37"/>
  <c r="E36" i="37"/>
  <c r="E35" i="37"/>
  <c r="E34" i="37"/>
  <c r="E33" i="37"/>
  <c r="E51" i="37"/>
  <c r="AG109" i="17"/>
  <c r="AG108" i="17"/>
  <c r="AG107" i="17"/>
  <c r="AG106" i="17"/>
  <c r="AG105" i="17"/>
  <c r="AG104" i="17"/>
  <c r="AG103" i="17"/>
  <c r="AG102" i="17"/>
  <c r="AG101" i="17"/>
  <c r="AG100" i="17"/>
  <c r="AG99" i="17"/>
  <c r="AG98" i="17"/>
  <c r="AG97" i="17"/>
  <c r="AG96" i="17"/>
  <c r="AG95" i="17"/>
  <c r="AG94" i="17"/>
  <c r="AG93" i="17"/>
  <c r="AG92" i="17"/>
  <c r="AG91" i="17"/>
  <c r="AF109" i="17"/>
  <c r="AF108" i="17"/>
  <c r="AF107" i="17"/>
  <c r="AF106" i="17"/>
  <c r="AF105" i="17"/>
  <c r="AF104" i="17"/>
  <c r="AF103" i="17"/>
  <c r="AF102" i="17"/>
  <c r="AF101" i="17"/>
  <c r="AF100" i="17"/>
  <c r="AF99" i="17"/>
  <c r="AF98" i="17"/>
  <c r="AF97" i="17"/>
  <c r="AF96" i="17"/>
  <c r="AF95" i="17"/>
  <c r="AF94" i="17"/>
  <c r="AF93" i="17"/>
  <c r="AF92" i="17"/>
  <c r="AF91" i="17"/>
  <c r="E53" i="37"/>
  <c r="E52" i="37"/>
  <c r="D20" i="18"/>
  <c r="E115" i="1"/>
  <c r="D80" i="29" s="1"/>
  <c r="E113" i="1"/>
  <c r="D78" i="29" s="1"/>
  <c r="E110" i="1"/>
  <c r="D63" i="29" s="1"/>
  <c r="E108" i="1"/>
  <c r="D61" i="29" s="1"/>
  <c r="E116" i="1"/>
  <c r="D81" i="29" s="1"/>
  <c r="E111" i="1"/>
  <c r="D64" i="29" s="1"/>
  <c r="E114" i="1"/>
  <c r="D79" i="29" s="1"/>
  <c r="E109" i="1"/>
  <c r="D62" i="29" s="1"/>
  <c r="E101" i="1"/>
  <c r="E104" i="1"/>
  <c r="D41" i="29" s="1"/>
  <c r="E105" i="1"/>
  <c r="D42" i="29" s="1"/>
  <c r="E103" i="1"/>
  <c r="D40" i="29" s="1"/>
  <c r="E106" i="1"/>
  <c r="D43" i="29" s="1"/>
  <c r="E100" i="1"/>
  <c r="D25" i="29" s="1"/>
  <c r="E99" i="1"/>
  <c r="D24" i="29" s="1"/>
  <c r="E98" i="1"/>
  <c r="D23" i="29" s="1"/>
  <c r="D47" i="28"/>
  <c r="D50" i="28"/>
  <c r="D40" i="28"/>
  <c r="D43" i="28"/>
  <c r="D33" i="28"/>
  <c r="D61" i="35"/>
  <c r="B61" i="35"/>
  <c r="E132" i="1"/>
  <c r="D52" i="35" s="1"/>
  <c r="E130" i="1"/>
  <c r="D50" i="35" s="1"/>
  <c r="D57" i="35"/>
  <c r="E128" i="1"/>
  <c r="D25" i="35" s="1"/>
  <c r="E126" i="1"/>
  <c r="D23" i="35" s="1"/>
  <c r="D34" i="35"/>
  <c r="B34" i="35"/>
  <c r="D41" i="26"/>
  <c r="D47" i="26"/>
  <c r="D52" i="26"/>
  <c r="D42" i="26"/>
  <c r="D36" i="26"/>
  <c r="E67" i="1"/>
  <c r="D53" i="26" s="1"/>
  <c r="E81" i="1"/>
  <c r="P71" i="10" s="1"/>
  <c r="E80" i="1"/>
  <c r="E79" i="1"/>
  <c r="E78" i="1"/>
  <c r="E76" i="1"/>
  <c r="E75" i="1"/>
  <c r="E74" i="1"/>
  <c r="E73" i="1"/>
  <c r="D40" i="26" s="1"/>
  <c r="E72" i="1"/>
  <c r="P66" i="10" s="1"/>
  <c r="E71" i="1"/>
  <c r="P70" i="10" s="1"/>
  <c r="E70" i="1"/>
  <c r="E69" i="1"/>
  <c r="AF46" i="17"/>
  <c r="AF45" i="17"/>
  <c r="AF44" i="17"/>
  <c r="AF43" i="17"/>
  <c r="AF37" i="17"/>
  <c r="AF36" i="17"/>
  <c r="AF35" i="17"/>
  <c r="AF34" i="17"/>
  <c r="AF31" i="17"/>
  <c r="AF30" i="17"/>
  <c r="E62" i="1"/>
  <c r="D63" i="24" s="1"/>
  <c r="E61" i="1"/>
  <c r="D62" i="24" s="1"/>
  <c r="B28" i="24"/>
  <c r="C59" i="1"/>
  <c r="N18" i="10" s="1"/>
  <c r="C58" i="1"/>
  <c r="N17" i="10" s="1"/>
  <c r="C57" i="1"/>
  <c r="N16" i="10" s="1"/>
  <c r="B27" i="24"/>
  <c r="B26" i="24"/>
  <c r="B25" i="24"/>
  <c r="E60" i="1"/>
  <c r="D28" i="24" s="1"/>
  <c r="E59" i="1"/>
  <c r="D27" i="24" s="1"/>
  <c r="E58" i="1"/>
  <c r="D26" i="24" s="1"/>
  <c r="E57" i="1"/>
  <c r="D25" i="24" s="1"/>
  <c r="D25" i="23"/>
  <c r="E50" i="1"/>
  <c r="D20" i="23" s="1"/>
  <c r="E48" i="1"/>
  <c r="D18" i="23" s="1"/>
  <c r="D14" i="18" l="1"/>
  <c r="D6" i="18"/>
  <c r="D16" i="18"/>
  <c r="D5" i="18"/>
  <c r="D13" i="18"/>
  <c r="D8" i="18"/>
  <c r="D9" i="18"/>
  <c r="D10" i="18"/>
  <c r="P65" i="10"/>
  <c r="B87" i="1"/>
  <c r="B153" i="1" s="1"/>
  <c r="D7" i="1" s="1"/>
  <c r="P17" i="10"/>
  <c r="P18" i="10"/>
  <c r="P16" i="10"/>
  <c r="P19" i="10"/>
  <c r="P20" i="10"/>
  <c r="P21" i="10"/>
  <c r="F5" i="18"/>
  <c r="E7" i="18"/>
  <c r="E10" i="18"/>
  <c r="F8" i="18"/>
  <c r="F9" i="18"/>
  <c r="F4" i="18"/>
  <c r="F13" i="18"/>
  <c r="G10" i="18"/>
  <c r="G6" i="18"/>
  <c r="G7" i="18"/>
  <c r="G12" i="18"/>
  <c r="G5" i="18"/>
  <c r="G11" i="18"/>
  <c r="G15" i="18"/>
  <c r="G8" i="18"/>
  <c r="G13" i="18"/>
  <c r="G16" i="18"/>
  <c r="F12" i="18"/>
  <c r="F15" i="18"/>
  <c r="F10" i="18"/>
  <c r="F16" i="18"/>
  <c r="F7" i="18"/>
  <c r="E4" i="18"/>
  <c r="E15" i="18"/>
  <c r="E5" i="18"/>
  <c r="E12" i="18"/>
  <c r="E9" i="18"/>
  <c r="E13" i="18"/>
  <c r="B9" i="18"/>
  <c r="H13" i="18"/>
  <c r="B7" i="18"/>
  <c r="B12" i="18"/>
  <c r="H14" i="18"/>
  <c r="H6" i="18"/>
  <c r="H11" i="18"/>
  <c r="E14" i="18"/>
  <c r="H15" i="18"/>
  <c r="B5" i="18"/>
  <c r="B14" i="18"/>
  <c r="H16" i="18"/>
  <c r="H5" i="18"/>
  <c r="B4" i="18"/>
  <c r="G4" i="18"/>
  <c r="E6" i="18"/>
  <c r="G9" i="18"/>
  <c r="E11" i="18"/>
  <c r="H12" i="18"/>
  <c r="F14" i="18"/>
  <c r="B6" i="18"/>
  <c r="B15" i="18"/>
  <c r="B10" i="18"/>
  <c r="H8" i="18"/>
  <c r="B11" i="18"/>
  <c r="H10" i="18"/>
  <c r="B13" i="18"/>
  <c r="H7" i="18"/>
  <c r="H4" i="18"/>
  <c r="F6" i="18"/>
  <c r="E8" i="18"/>
  <c r="B8" i="18"/>
  <c r="D26" i="29"/>
  <c r="D54" i="35"/>
  <c r="D36" i="24"/>
  <c r="D37" i="24"/>
  <c r="C8" i="2" l="1"/>
  <c r="H36" i="18"/>
  <c r="G36" i="18"/>
  <c r="F36" i="18"/>
  <c r="E36" i="18"/>
  <c r="D36" i="18"/>
  <c r="B36" i="18"/>
  <c r="I35" i="18"/>
  <c r="I34" i="18"/>
  <c r="I33" i="18"/>
  <c r="I32" i="18"/>
  <c r="I31" i="18"/>
  <c r="I30" i="18"/>
  <c r="I29" i="18"/>
  <c r="I28" i="18"/>
  <c r="I27" i="18"/>
  <c r="I26" i="18"/>
  <c r="I25" i="18"/>
  <c r="I24" i="18"/>
  <c r="I23" i="18"/>
  <c r="I36" i="18" l="1"/>
  <c r="I16" i="18" l="1"/>
  <c r="I4" i="18"/>
  <c r="I12" i="18"/>
  <c r="I10" i="18" l="1"/>
  <c r="I15" i="18"/>
  <c r="I9" i="18"/>
  <c r="I5" i="18"/>
  <c r="I13" i="18"/>
  <c r="I8" i="18"/>
  <c r="I14" i="18"/>
  <c r="G17" i="18"/>
  <c r="F17" i="18"/>
  <c r="I7" i="18"/>
  <c r="I11" i="18"/>
  <c r="H17" i="18"/>
  <c r="I6" i="18"/>
  <c r="I17" i="18" l="1"/>
  <c r="E66" i="1"/>
  <c r="E44" i="1" l="1"/>
  <c r="D30" i="28" s="1"/>
  <c r="P64" i="10"/>
  <c r="A3" i="1"/>
  <c r="E142" i="1"/>
  <c r="D48" i="28" s="1"/>
  <c r="E141" i="1"/>
  <c r="D41" i="28" s="1"/>
  <c r="AF121" i="17"/>
  <c r="AF120" i="17"/>
  <c r="AF117" i="17"/>
  <c r="AF116" i="17"/>
  <c r="AF115" i="17"/>
  <c r="AF114" i="17"/>
  <c r="E140" i="1"/>
  <c r="D34" i="28" s="1"/>
  <c r="E126" i="36"/>
  <c r="C130" i="36" s="1"/>
  <c r="E125" i="36"/>
  <c r="C129" i="36" s="1"/>
  <c r="AF120" i="36"/>
  <c r="AE120" i="36"/>
  <c r="AD120" i="36"/>
  <c r="AC120" i="36"/>
  <c r="AB120" i="36"/>
  <c r="AA120" i="36"/>
  <c r="Z120" i="36"/>
  <c r="Y120" i="36"/>
  <c r="X120" i="36"/>
  <c r="W120" i="36"/>
  <c r="V120" i="36"/>
  <c r="U120" i="36"/>
  <c r="T120" i="36"/>
  <c r="S120" i="36"/>
  <c r="R120" i="36"/>
  <c r="Q120" i="36"/>
  <c r="P120" i="36"/>
  <c r="O120" i="36"/>
  <c r="N120" i="36"/>
  <c r="M120" i="36"/>
  <c r="L120" i="36"/>
  <c r="K120" i="36"/>
  <c r="J120" i="36"/>
  <c r="I120" i="36"/>
  <c r="H120" i="36"/>
  <c r="G120" i="36"/>
  <c r="F120" i="36"/>
  <c r="E120" i="36"/>
  <c r="D120" i="36"/>
  <c r="AF119" i="36"/>
  <c r="AE119" i="36"/>
  <c r="AD119" i="36"/>
  <c r="AC119" i="36"/>
  <c r="AB119" i="36"/>
  <c r="AA119" i="36"/>
  <c r="Z119" i="36"/>
  <c r="Y119" i="36"/>
  <c r="X119" i="36"/>
  <c r="W119" i="36"/>
  <c r="V119" i="36"/>
  <c r="U119" i="36"/>
  <c r="T119" i="36"/>
  <c r="S119" i="36"/>
  <c r="R119" i="36"/>
  <c r="Q119" i="36"/>
  <c r="P119" i="36"/>
  <c r="O119" i="36"/>
  <c r="N119" i="36"/>
  <c r="M119" i="36"/>
  <c r="L119" i="36"/>
  <c r="K119" i="36"/>
  <c r="J119" i="36"/>
  <c r="I119" i="36"/>
  <c r="H119" i="36"/>
  <c r="G119" i="36"/>
  <c r="F119" i="36"/>
  <c r="E119" i="36"/>
  <c r="D119" i="36"/>
  <c r="D130" i="36" l="1"/>
  <c r="E130" i="36"/>
  <c r="F130" i="36" s="1"/>
  <c r="G130" i="36" s="1"/>
  <c r="H130" i="36" s="1"/>
  <c r="I130" i="36" s="1"/>
  <c r="J130" i="36" s="1"/>
  <c r="K130" i="36" s="1"/>
  <c r="L130" i="36" s="1"/>
  <c r="M130" i="36" s="1"/>
  <c r="N130" i="36" s="1"/>
  <c r="O130" i="36" s="1"/>
  <c r="P130" i="36" s="1"/>
  <c r="Q130" i="36" s="1"/>
  <c r="R130" i="36" s="1"/>
  <c r="S130" i="36" s="1"/>
  <c r="T130" i="36" s="1"/>
  <c r="U130" i="36" s="1"/>
  <c r="V130" i="36" s="1"/>
  <c r="W130" i="36" s="1"/>
  <c r="X130" i="36" s="1"/>
  <c r="Y130" i="36" s="1"/>
  <c r="Z130" i="36" s="1"/>
  <c r="AA130" i="36" s="1"/>
  <c r="AB130" i="36" s="1"/>
  <c r="AC130" i="36" s="1"/>
  <c r="AD130" i="36" s="1"/>
  <c r="AE130" i="36" s="1"/>
  <c r="AF130" i="36" s="1"/>
  <c r="D129" i="36"/>
  <c r="E129" i="36" s="1"/>
  <c r="F129" i="36" s="1"/>
  <c r="G129" i="36" s="1"/>
  <c r="H129" i="36" s="1"/>
  <c r="I129" i="36" s="1"/>
  <c r="J129" i="36" s="1"/>
  <c r="K129" i="36" s="1"/>
  <c r="L129" i="36" s="1"/>
  <c r="M129" i="36" s="1"/>
  <c r="N129" i="36" s="1"/>
  <c r="O129" i="36" s="1"/>
  <c r="P129" i="36" s="1"/>
  <c r="Q129" i="36" s="1"/>
  <c r="R129" i="36" s="1"/>
  <c r="S129" i="36" s="1"/>
  <c r="T129" i="36" s="1"/>
  <c r="U129" i="36" s="1"/>
  <c r="V129" i="36" s="1"/>
  <c r="W129" i="36" s="1"/>
  <c r="X129" i="36" s="1"/>
  <c r="Y129" i="36" s="1"/>
  <c r="Z129" i="36" s="1"/>
  <c r="AA129" i="36" s="1"/>
  <c r="AB129" i="36" s="1"/>
  <c r="AC129" i="36" s="1"/>
  <c r="AD129" i="36" s="1"/>
  <c r="AE129" i="36" s="1"/>
  <c r="AF129" i="36" s="1"/>
  <c r="Z43" i="20" l="1"/>
  <c r="Y43" i="20"/>
  <c r="X43" i="20"/>
  <c r="W43" i="20"/>
  <c r="W2" i="20"/>
  <c r="Z7" i="20"/>
  <c r="Y7" i="20"/>
  <c r="X7" i="20"/>
  <c r="W7" i="20"/>
  <c r="Z6" i="20"/>
  <c r="Y6" i="20"/>
  <c r="X6" i="20"/>
  <c r="W6" i="20"/>
  <c r="Z5" i="20"/>
  <c r="Y5" i="20"/>
  <c r="X5" i="20"/>
  <c r="W5" i="20"/>
  <c r="D30" i="35"/>
  <c r="D17" i="35"/>
  <c r="D16" i="35"/>
  <c r="D15" i="35"/>
  <c r="F8" i="35"/>
  <c r="G8" i="35" s="1"/>
  <c r="H8" i="35" s="1"/>
  <c r="I8" i="35" s="1"/>
  <c r="J8" i="35" s="1"/>
  <c r="K8" i="35" s="1"/>
  <c r="L8" i="35" s="1"/>
  <c r="M8" i="35" s="1"/>
  <c r="N8" i="35" s="1"/>
  <c r="O8" i="35" s="1"/>
  <c r="P8" i="35" s="1"/>
  <c r="Q8" i="35" s="1"/>
  <c r="R8" i="35" s="1"/>
  <c r="S8" i="35" s="1"/>
  <c r="T8" i="35" s="1"/>
  <c r="U8" i="35" s="1"/>
  <c r="V8" i="35" s="1"/>
  <c r="W8" i="35" s="1"/>
  <c r="X8" i="35" s="1"/>
  <c r="Y8" i="35" s="1"/>
  <c r="Z8" i="35" s="1"/>
  <c r="AA8" i="35" s="1"/>
  <c r="AB8" i="35" s="1"/>
  <c r="AC8" i="35" s="1"/>
  <c r="AD8" i="35" s="1"/>
  <c r="AE8" i="35" s="1"/>
  <c r="AF8" i="35" s="1"/>
  <c r="AG8" i="35" s="1"/>
  <c r="AH8" i="35" s="1"/>
  <c r="AI8" i="35" s="1"/>
  <c r="AJ8" i="35" s="1"/>
  <c r="AK8" i="35" s="1"/>
  <c r="AL8" i="35" s="1"/>
  <c r="AM8" i="35" s="1"/>
  <c r="AN8" i="35" s="1"/>
  <c r="AO8" i="35" s="1"/>
  <c r="AP8" i="35" s="1"/>
  <c r="AQ8" i="35" s="1"/>
  <c r="AR8" i="35" s="1"/>
  <c r="F7" i="35"/>
  <c r="A4" i="35"/>
  <c r="A1" i="35"/>
  <c r="D41" i="33"/>
  <c r="D26" i="33"/>
  <c r="D25" i="33"/>
  <c r="D24" i="33"/>
  <c r="E148" i="1"/>
  <c r="D17" i="33"/>
  <c r="D16" i="33"/>
  <c r="D15" i="33"/>
  <c r="F8" i="33"/>
  <c r="G8" i="33" s="1"/>
  <c r="H8" i="33" s="1"/>
  <c r="I8" i="33" s="1"/>
  <c r="J8" i="33" s="1"/>
  <c r="K8" i="33" s="1"/>
  <c r="L8" i="33" s="1"/>
  <c r="M8" i="33" s="1"/>
  <c r="N8" i="33" s="1"/>
  <c r="O8" i="33" s="1"/>
  <c r="P8" i="33" s="1"/>
  <c r="Q8" i="33" s="1"/>
  <c r="R8" i="33" s="1"/>
  <c r="S8" i="33" s="1"/>
  <c r="T8" i="33" s="1"/>
  <c r="U8" i="33" s="1"/>
  <c r="V8" i="33" s="1"/>
  <c r="W8" i="33" s="1"/>
  <c r="X8" i="33" s="1"/>
  <c r="Y8" i="33" s="1"/>
  <c r="Z8" i="33" s="1"/>
  <c r="AA8" i="33" s="1"/>
  <c r="AB8" i="33" s="1"/>
  <c r="AC8" i="33" s="1"/>
  <c r="AD8" i="33" s="1"/>
  <c r="AE8" i="33" s="1"/>
  <c r="AF8" i="33" s="1"/>
  <c r="AG8" i="33" s="1"/>
  <c r="AH8" i="33" s="1"/>
  <c r="AI8" i="33" s="1"/>
  <c r="AJ8" i="33" s="1"/>
  <c r="AK8" i="33" s="1"/>
  <c r="AL8" i="33" s="1"/>
  <c r="AM8" i="33" s="1"/>
  <c r="AN8" i="33" s="1"/>
  <c r="AO8" i="33" s="1"/>
  <c r="AP8" i="33" s="1"/>
  <c r="AQ8" i="33" s="1"/>
  <c r="AR8" i="33" s="1"/>
  <c r="F7" i="33"/>
  <c r="F9" i="33" s="1"/>
  <c r="A4" i="33"/>
  <c r="A1" i="33"/>
  <c r="E151" i="1"/>
  <c r="D32" i="33" l="1"/>
  <c r="P57" i="10"/>
  <c r="D27" i="33"/>
  <c r="P54" i="10"/>
  <c r="F67" i="35"/>
  <c r="F66" i="35"/>
  <c r="F55" i="35"/>
  <c r="F50" i="35"/>
  <c r="F40" i="35"/>
  <c r="E152" i="1"/>
  <c r="D31" i="33"/>
  <c r="E149" i="1"/>
  <c r="F39" i="35"/>
  <c r="F9" i="35"/>
  <c r="G7" i="35"/>
  <c r="D27" i="35"/>
  <c r="F23" i="35"/>
  <c r="F28" i="35"/>
  <c r="G7" i="33"/>
  <c r="D28" i="33" l="1"/>
  <c r="AM34" i="33" s="1"/>
  <c r="AM37" i="33" s="1"/>
  <c r="P55" i="10"/>
  <c r="D33" i="33"/>
  <c r="P58" i="10"/>
  <c r="G66" i="35"/>
  <c r="G67" i="35"/>
  <c r="F56" i="35"/>
  <c r="G55" i="35"/>
  <c r="G50" i="35"/>
  <c r="G23" i="35"/>
  <c r="G40" i="35"/>
  <c r="I34" i="33"/>
  <c r="I37" i="33" s="1"/>
  <c r="Y34" i="33"/>
  <c r="Y37" i="33" s="1"/>
  <c r="G9" i="35"/>
  <c r="H7" i="35"/>
  <c r="G28" i="35"/>
  <c r="AI34" i="33"/>
  <c r="AI37" i="33" s="1"/>
  <c r="U34" i="33"/>
  <c r="U37" i="33" s="1"/>
  <c r="G39" i="35"/>
  <c r="F29" i="35"/>
  <c r="F31" i="35" s="1"/>
  <c r="H7" i="33"/>
  <c r="G9" i="33"/>
  <c r="H34" i="33" l="1"/>
  <c r="H37" i="33" s="1"/>
  <c r="V34" i="33"/>
  <c r="V37" i="33" s="1"/>
  <c r="AO34" i="33"/>
  <c r="AO37" i="33" s="1"/>
  <c r="AG34" i="33"/>
  <c r="AG37" i="33" s="1"/>
  <c r="L34" i="33"/>
  <c r="L37" i="33" s="1"/>
  <c r="AD34" i="33"/>
  <c r="AD37" i="33" s="1"/>
  <c r="Z34" i="33"/>
  <c r="Z37" i="33" s="1"/>
  <c r="AE34" i="33"/>
  <c r="AE37" i="33" s="1"/>
  <c r="AC34" i="33"/>
  <c r="AC37" i="33" s="1"/>
  <c r="AK34" i="33"/>
  <c r="AK37" i="33" s="1"/>
  <c r="AL34" i="33"/>
  <c r="AL37" i="33" s="1"/>
  <c r="AP34" i="33"/>
  <c r="AP37" i="33" s="1"/>
  <c r="AB34" i="33"/>
  <c r="AB37" i="33" s="1"/>
  <c r="M34" i="33"/>
  <c r="M37" i="33" s="1"/>
  <c r="W34" i="33"/>
  <c r="W37" i="33" s="1"/>
  <c r="AN34" i="33"/>
  <c r="AN37" i="33" s="1"/>
  <c r="AQ34" i="33"/>
  <c r="AQ37" i="33" s="1"/>
  <c r="AR34" i="33"/>
  <c r="AR37" i="33" s="1"/>
  <c r="R34" i="33"/>
  <c r="R37" i="33" s="1"/>
  <c r="Q34" i="33"/>
  <c r="Q37" i="33" s="1"/>
  <c r="G34" i="33"/>
  <c r="G37" i="33" s="1"/>
  <c r="AA34" i="33"/>
  <c r="AA37" i="33" s="1"/>
  <c r="T34" i="33"/>
  <c r="T37" i="33" s="1"/>
  <c r="O34" i="33"/>
  <c r="O37" i="33" s="1"/>
  <c r="F34" i="33"/>
  <c r="F37" i="33" s="1"/>
  <c r="X34" i="33"/>
  <c r="X37" i="33" s="1"/>
  <c r="K34" i="33"/>
  <c r="K37" i="33" s="1"/>
  <c r="AH34" i="33"/>
  <c r="AH37" i="33" s="1"/>
  <c r="P34" i="33"/>
  <c r="P37" i="33" s="1"/>
  <c r="J34" i="33"/>
  <c r="J37" i="33" s="1"/>
  <c r="N34" i="33"/>
  <c r="N37" i="33" s="1"/>
  <c r="AF34" i="33"/>
  <c r="AF37" i="33" s="1"/>
  <c r="AJ34" i="33"/>
  <c r="AJ37" i="33" s="1"/>
  <c r="S34" i="33"/>
  <c r="S37" i="33" s="1"/>
  <c r="H66" i="35"/>
  <c r="H67" i="35"/>
  <c r="G56" i="35"/>
  <c r="H50" i="35"/>
  <c r="H55" i="35"/>
  <c r="F58" i="35"/>
  <c r="H40" i="35"/>
  <c r="F36" i="35"/>
  <c r="F42" i="35" s="1"/>
  <c r="F35" i="35"/>
  <c r="F41" i="35" s="1"/>
  <c r="H23" i="35"/>
  <c r="H28" i="35"/>
  <c r="I7" i="35"/>
  <c r="H39" i="35"/>
  <c r="H9" i="35"/>
  <c r="G29" i="35"/>
  <c r="G31" i="35" s="1"/>
  <c r="H9" i="33"/>
  <c r="I7" i="33"/>
  <c r="H10" i="33" s="1"/>
  <c r="D34" i="33" l="1"/>
  <c r="F62" i="35"/>
  <c r="F63" i="35"/>
  <c r="F69" i="35" s="1"/>
  <c r="I66" i="35"/>
  <c r="I67" i="35"/>
  <c r="H56" i="35"/>
  <c r="I55" i="35"/>
  <c r="I50" i="35"/>
  <c r="G58" i="35"/>
  <c r="F45" i="35"/>
  <c r="G10" i="35"/>
  <c r="G17" i="35" s="1"/>
  <c r="I40" i="35"/>
  <c r="G35" i="35"/>
  <c r="G41" i="35" s="1"/>
  <c r="G36" i="35"/>
  <c r="G42" i="35" s="1"/>
  <c r="J7" i="35"/>
  <c r="I9" i="35"/>
  <c r="I10" i="35"/>
  <c r="I17" i="35" s="1"/>
  <c r="I28" i="35"/>
  <c r="F10" i="35"/>
  <c r="F17" i="35" s="1"/>
  <c r="I23" i="35"/>
  <c r="I39" i="35"/>
  <c r="H10" i="35"/>
  <c r="H17" i="35" s="1"/>
  <c r="H29" i="35"/>
  <c r="H31" i="35" s="1"/>
  <c r="I9" i="33"/>
  <c r="I10" i="33"/>
  <c r="J7" i="33"/>
  <c r="F10" i="33"/>
  <c r="G10" i="33"/>
  <c r="H17" i="33"/>
  <c r="H16" i="33"/>
  <c r="H15" i="33"/>
  <c r="G62" i="35" l="1"/>
  <c r="G68" i="35" s="1"/>
  <c r="G63" i="35"/>
  <c r="G69" i="35" s="1"/>
  <c r="J66" i="35"/>
  <c r="J67" i="35"/>
  <c r="F68" i="35"/>
  <c r="F72" i="35" s="1"/>
  <c r="I56" i="35"/>
  <c r="J55" i="35"/>
  <c r="J50" i="35"/>
  <c r="H58" i="35"/>
  <c r="G15" i="35"/>
  <c r="G16" i="35"/>
  <c r="G45" i="35"/>
  <c r="J9" i="35"/>
  <c r="J40" i="35"/>
  <c r="J28" i="35"/>
  <c r="H35" i="35"/>
  <c r="H41" i="35" s="1"/>
  <c r="H36" i="35"/>
  <c r="H42" i="35" s="1"/>
  <c r="J10" i="35"/>
  <c r="J16" i="35" s="1"/>
  <c r="K7" i="35"/>
  <c r="J39" i="35"/>
  <c r="J23" i="35"/>
  <c r="I15" i="35"/>
  <c r="I16" i="35"/>
  <c r="F15" i="35"/>
  <c r="F16" i="35"/>
  <c r="H15" i="35"/>
  <c r="H16" i="35"/>
  <c r="I29" i="35"/>
  <c r="I31" i="35" s="1"/>
  <c r="G17" i="33"/>
  <c r="G16" i="33"/>
  <c r="G15" i="33"/>
  <c r="I17" i="33"/>
  <c r="I16" i="33"/>
  <c r="I15" i="33"/>
  <c r="F17" i="33"/>
  <c r="F16" i="33"/>
  <c r="F15" i="33"/>
  <c r="J9" i="33"/>
  <c r="J10" i="33"/>
  <c r="K7" i="33"/>
  <c r="G72" i="35" l="1"/>
  <c r="H63" i="35"/>
  <c r="H69" i="35" s="1"/>
  <c r="H62" i="35"/>
  <c r="H68" i="35" s="1"/>
  <c r="K66" i="35"/>
  <c r="K67" i="35"/>
  <c r="J56" i="35"/>
  <c r="K55" i="35"/>
  <c r="K50" i="35"/>
  <c r="K40" i="35"/>
  <c r="I58" i="35"/>
  <c r="K23" i="35"/>
  <c r="K10" i="35"/>
  <c r="K16" i="35" s="1"/>
  <c r="L7" i="35"/>
  <c r="H45" i="35"/>
  <c r="K9" i="35"/>
  <c r="K39" i="35"/>
  <c r="K28" i="35"/>
  <c r="I35" i="35"/>
  <c r="I41" i="35" s="1"/>
  <c r="I36" i="35"/>
  <c r="I42" i="35" s="1"/>
  <c r="J15" i="35"/>
  <c r="J17" i="35"/>
  <c r="J29" i="35"/>
  <c r="J31" i="35" s="1"/>
  <c r="J17" i="33"/>
  <c r="J16" i="33"/>
  <c r="J15" i="33"/>
  <c r="K10" i="33"/>
  <c r="L7" i="33"/>
  <c r="K9" i="33"/>
  <c r="H72" i="35" l="1"/>
  <c r="I62" i="35"/>
  <c r="I63" i="35"/>
  <c r="I69" i="35" s="1"/>
  <c r="L67" i="35"/>
  <c r="L66" i="35"/>
  <c r="K56" i="35"/>
  <c r="L28" i="35"/>
  <c r="L50" i="35"/>
  <c r="L55" i="35"/>
  <c r="J58" i="35"/>
  <c r="L40" i="35"/>
  <c r="K15" i="35"/>
  <c r="K17" i="35"/>
  <c r="L9" i="35"/>
  <c r="M7" i="35"/>
  <c r="L23" i="35"/>
  <c r="L39" i="35"/>
  <c r="L10" i="35"/>
  <c r="L17" i="35" s="1"/>
  <c r="I45" i="35"/>
  <c r="J35" i="35"/>
  <c r="J41" i="35" s="1"/>
  <c r="J36" i="35"/>
  <c r="J42" i="35" s="1"/>
  <c r="K29" i="35"/>
  <c r="K31" i="35" s="1"/>
  <c r="K17" i="33"/>
  <c r="K16" i="33"/>
  <c r="K15" i="33"/>
  <c r="L10" i="33"/>
  <c r="M7" i="33"/>
  <c r="L9" i="33"/>
  <c r="J62" i="35" l="1"/>
  <c r="J68" i="35" s="1"/>
  <c r="J63" i="35"/>
  <c r="J69" i="35" s="1"/>
  <c r="M28" i="35"/>
  <c r="M66" i="35"/>
  <c r="M67" i="35"/>
  <c r="I68" i="35"/>
  <c r="I72" i="35" s="1"/>
  <c r="M10" i="35"/>
  <c r="M16" i="35" s="1"/>
  <c r="M9" i="35"/>
  <c r="L56" i="35"/>
  <c r="M50" i="35"/>
  <c r="M55" i="35"/>
  <c r="K58" i="35"/>
  <c r="M40" i="35"/>
  <c r="N7" i="35"/>
  <c r="M39" i="35"/>
  <c r="M23" i="35"/>
  <c r="L16" i="35"/>
  <c r="L15" i="35"/>
  <c r="J45" i="35"/>
  <c r="K35" i="35"/>
  <c r="K41" i="35" s="1"/>
  <c r="K36" i="35"/>
  <c r="K42" i="35" s="1"/>
  <c r="L29" i="35"/>
  <c r="L31" i="35" s="1"/>
  <c r="N7" i="33"/>
  <c r="M9" i="33"/>
  <c r="M10" i="33"/>
  <c r="L16" i="33"/>
  <c r="L17" i="33"/>
  <c r="L15" i="33"/>
  <c r="J72" i="35" l="1"/>
  <c r="K62" i="35"/>
  <c r="K63" i="35"/>
  <c r="N67" i="35"/>
  <c r="N66" i="35"/>
  <c r="M15" i="35"/>
  <c r="M17" i="35"/>
  <c r="M56" i="35"/>
  <c r="N10" i="35"/>
  <c r="N15" i="35" s="1"/>
  <c r="N55" i="35"/>
  <c r="N50" i="35"/>
  <c r="N40" i="35"/>
  <c r="O7" i="35"/>
  <c r="N28" i="35"/>
  <c r="N39" i="35"/>
  <c r="L58" i="35"/>
  <c r="N9" i="35"/>
  <c r="N23" i="35"/>
  <c r="K45" i="35"/>
  <c r="L35" i="35"/>
  <c r="L41" i="35" s="1"/>
  <c r="L36" i="35"/>
  <c r="L42" i="35" s="1"/>
  <c r="M29" i="35"/>
  <c r="M31" i="35" s="1"/>
  <c r="M16" i="33"/>
  <c r="M17" i="33"/>
  <c r="M15" i="33"/>
  <c r="O7" i="33"/>
  <c r="N9" i="33"/>
  <c r="N10" i="33"/>
  <c r="L63" i="35" l="1"/>
  <c r="L69" i="35" s="1"/>
  <c r="L62" i="35"/>
  <c r="L68" i="35" s="1"/>
  <c r="O67" i="35"/>
  <c r="O66" i="35"/>
  <c r="K69" i="35"/>
  <c r="K68" i="35"/>
  <c r="N16" i="35"/>
  <c r="N17" i="35"/>
  <c r="N56" i="35"/>
  <c r="P7" i="35"/>
  <c r="P23" i="35" s="1"/>
  <c r="O55" i="35"/>
  <c r="O50" i="35"/>
  <c r="O28" i="35"/>
  <c r="O39" i="35"/>
  <c r="O23" i="35"/>
  <c r="O10" i="35"/>
  <c r="O17" i="35" s="1"/>
  <c r="O9" i="35"/>
  <c r="O40" i="35"/>
  <c r="M58" i="35"/>
  <c r="L45" i="35"/>
  <c r="M36" i="35"/>
  <c r="M42" i="35" s="1"/>
  <c r="M35" i="35"/>
  <c r="M41" i="35" s="1"/>
  <c r="N29" i="35"/>
  <c r="N31" i="35" s="1"/>
  <c r="P7" i="33"/>
  <c r="O9" i="33"/>
  <c r="O10" i="33"/>
  <c r="N17" i="33"/>
  <c r="N16" i="33"/>
  <c r="N15" i="33"/>
  <c r="P40" i="35" l="1"/>
  <c r="P28" i="35"/>
  <c r="K72" i="35"/>
  <c r="L72" i="35"/>
  <c r="M63" i="35"/>
  <c r="M69" i="35" s="1"/>
  <c r="M62" i="35"/>
  <c r="M68" i="35" s="1"/>
  <c r="P66" i="35"/>
  <c r="P67" i="35"/>
  <c r="P39" i="35"/>
  <c r="Q7" i="35"/>
  <c r="Q40" i="35" s="1"/>
  <c r="P10" i="35"/>
  <c r="P15" i="35" s="1"/>
  <c r="P9" i="35"/>
  <c r="O56" i="35"/>
  <c r="O16" i="35"/>
  <c r="P55" i="35"/>
  <c r="P50" i="35"/>
  <c r="O15" i="35"/>
  <c r="N58" i="35"/>
  <c r="M45" i="35"/>
  <c r="N36" i="35"/>
  <c r="N42" i="35" s="1"/>
  <c r="N35" i="35"/>
  <c r="N41" i="35" s="1"/>
  <c r="O29" i="35"/>
  <c r="O31" i="35" s="1"/>
  <c r="P9" i="33"/>
  <c r="P10" i="33"/>
  <c r="Q7" i="33"/>
  <c r="O16" i="33"/>
  <c r="O17" i="33"/>
  <c r="O15" i="33"/>
  <c r="Q55" i="35" l="1"/>
  <c r="P17" i="35"/>
  <c r="Q28" i="35"/>
  <c r="M72" i="35"/>
  <c r="N62" i="35"/>
  <c r="N68" i="35" s="1"/>
  <c r="N63" i="35"/>
  <c r="Q9" i="35"/>
  <c r="R7" i="35"/>
  <c r="R40" i="35" s="1"/>
  <c r="Q23" i="35"/>
  <c r="Q50" i="35"/>
  <c r="Q66" i="35"/>
  <c r="Q67" i="35"/>
  <c r="Q39" i="35"/>
  <c r="Q10" i="35"/>
  <c r="Q16" i="35" s="1"/>
  <c r="P16" i="35"/>
  <c r="P56" i="35"/>
  <c r="O58" i="35"/>
  <c r="N45" i="35"/>
  <c r="O35" i="35"/>
  <c r="O41" i="35" s="1"/>
  <c r="O36" i="35"/>
  <c r="O42" i="35" s="1"/>
  <c r="P29" i="35"/>
  <c r="P31" i="35" s="1"/>
  <c r="P16" i="33"/>
  <c r="P17" i="33"/>
  <c r="P15" i="33"/>
  <c r="R7" i="33"/>
  <c r="Q9" i="33"/>
  <c r="Q10" i="33"/>
  <c r="R39" i="35" l="1"/>
  <c r="R10" i="35"/>
  <c r="R16" i="35" s="1"/>
  <c r="S7" i="35"/>
  <c r="S10" i="35" s="1"/>
  <c r="R50" i="35"/>
  <c r="Q17" i="35"/>
  <c r="R55" i="35"/>
  <c r="R23" i="35"/>
  <c r="R28" i="35"/>
  <c r="R9" i="35"/>
  <c r="O62" i="35"/>
  <c r="O68" i="35" s="1"/>
  <c r="O63" i="35"/>
  <c r="O69" i="35" s="1"/>
  <c r="Q15" i="35"/>
  <c r="Q56" i="35"/>
  <c r="R66" i="35"/>
  <c r="R67" i="35"/>
  <c r="N69" i="35"/>
  <c r="N72" i="35" s="1"/>
  <c r="P58" i="35"/>
  <c r="O45" i="35"/>
  <c r="P35" i="35"/>
  <c r="P41" i="35" s="1"/>
  <c r="P36" i="35"/>
  <c r="P42" i="35" s="1"/>
  <c r="Q29" i="35"/>
  <c r="Q31" i="35" s="1"/>
  <c r="Q17" i="33"/>
  <c r="Q16" i="33"/>
  <c r="Q15" i="33"/>
  <c r="R9" i="33"/>
  <c r="R10" i="33"/>
  <c r="S7" i="33"/>
  <c r="R17" i="35" l="1"/>
  <c r="S66" i="35"/>
  <c r="S40" i="35"/>
  <c r="S9" i="35"/>
  <c r="S28" i="35"/>
  <c r="R15" i="35"/>
  <c r="S55" i="35"/>
  <c r="S39" i="35"/>
  <c r="S50" i="35"/>
  <c r="T7" i="35"/>
  <c r="T55" i="35" s="1"/>
  <c r="S23" i="35"/>
  <c r="S67" i="35"/>
  <c r="R56" i="35"/>
  <c r="O72" i="35"/>
  <c r="P62" i="35"/>
  <c r="P68" i="35" s="1"/>
  <c r="P63" i="35"/>
  <c r="Q58" i="35"/>
  <c r="P45" i="35"/>
  <c r="Q35" i="35"/>
  <c r="Q41" i="35" s="1"/>
  <c r="Q36" i="35"/>
  <c r="Q42" i="35" s="1"/>
  <c r="R29" i="35"/>
  <c r="R31" i="35" s="1"/>
  <c r="S16" i="35"/>
  <c r="S17" i="35"/>
  <c r="S15" i="35"/>
  <c r="S10" i="33"/>
  <c r="S9" i="33"/>
  <c r="T7" i="33"/>
  <c r="R17" i="33"/>
  <c r="R16" i="33"/>
  <c r="R15" i="33"/>
  <c r="T40" i="35" l="1"/>
  <c r="S56" i="35"/>
  <c r="U7" i="35"/>
  <c r="U40" i="35" s="1"/>
  <c r="T10" i="35"/>
  <c r="T16" i="35" s="1"/>
  <c r="T66" i="35"/>
  <c r="T23" i="35"/>
  <c r="T9" i="35"/>
  <c r="T67" i="35"/>
  <c r="T28" i="35"/>
  <c r="T50" i="35"/>
  <c r="T39" i="35"/>
  <c r="Q62" i="35"/>
  <c r="Q68" i="35" s="1"/>
  <c r="Q63" i="35"/>
  <c r="Q69" i="35" s="1"/>
  <c r="P69" i="35"/>
  <c r="P72" i="35" s="1"/>
  <c r="R58" i="35"/>
  <c r="Q45" i="35"/>
  <c r="R35" i="35"/>
  <c r="R41" i="35" s="1"/>
  <c r="R36" i="35"/>
  <c r="R42" i="35" s="1"/>
  <c r="S29" i="35"/>
  <c r="S31" i="35" s="1"/>
  <c r="U7" i="33"/>
  <c r="T9" i="33"/>
  <c r="T10" i="33"/>
  <c r="S17" i="33"/>
  <c r="S16" i="33"/>
  <c r="S15" i="33"/>
  <c r="T56" i="35" l="1"/>
  <c r="T15" i="35"/>
  <c r="T17" i="35"/>
  <c r="U55" i="35"/>
  <c r="U23" i="35"/>
  <c r="U50" i="35"/>
  <c r="U39" i="35"/>
  <c r="U67" i="35"/>
  <c r="U28" i="35"/>
  <c r="U9" i="35"/>
  <c r="V7" i="35"/>
  <c r="V66" i="35" s="1"/>
  <c r="U66" i="35"/>
  <c r="U10" i="35"/>
  <c r="U16" i="35" s="1"/>
  <c r="Q72" i="35"/>
  <c r="R62" i="35"/>
  <c r="R68" i="35" s="1"/>
  <c r="R63" i="35"/>
  <c r="R69" i="35" s="1"/>
  <c r="S58" i="35"/>
  <c r="R45" i="35"/>
  <c r="S35" i="35"/>
  <c r="S41" i="35" s="1"/>
  <c r="S36" i="35"/>
  <c r="S42" i="35" s="1"/>
  <c r="T29" i="35"/>
  <c r="T31" i="35" s="1"/>
  <c r="T16" i="33"/>
  <c r="T17" i="33"/>
  <c r="T15" i="33"/>
  <c r="V7" i="33"/>
  <c r="U10" i="33"/>
  <c r="U9" i="33"/>
  <c r="V28" i="35" l="1"/>
  <c r="V55" i="35"/>
  <c r="V50" i="35"/>
  <c r="V40" i="35"/>
  <c r="V23" i="35"/>
  <c r="V39" i="35"/>
  <c r="U56" i="35"/>
  <c r="V67" i="35"/>
  <c r="W7" i="35"/>
  <c r="W67" i="35" s="1"/>
  <c r="V9" i="35"/>
  <c r="V10" i="35"/>
  <c r="V17" i="35" s="1"/>
  <c r="U15" i="35"/>
  <c r="U17" i="35"/>
  <c r="R72" i="35"/>
  <c r="S62" i="35"/>
  <c r="S68" i="35" s="1"/>
  <c r="S63" i="35"/>
  <c r="S69" i="35" s="1"/>
  <c r="T58" i="35"/>
  <c r="S45" i="35"/>
  <c r="T35" i="35"/>
  <c r="T41" i="35" s="1"/>
  <c r="T36" i="35"/>
  <c r="T42" i="35" s="1"/>
  <c r="U29" i="35"/>
  <c r="U31" i="35" s="1"/>
  <c r="U17" i="33"/>
  <c r="U16" i="33"/>
  <c r="U15" i="33"/>
  <c r="W7" i="33"/>
  <c r="V9" i="33"/>
  <c r="V10" i="33"/>
  <c r="V56" i="35" l="1"/>
  <c r="W66" i="35"/>
  <c r="W10" i="35"/>
  <c r="W16" i="35" s="1"/>
  <c r="V16" i="35"/>
  <c r="W40" i="35"/>
  <c r="W28" i="35"/>
  <c r="W9" i="35"/>
  <c r="X7" i="35"/>
  <c r="X50" i="35" s="1"/>
  <c r="W50" i="35"/>
  <c r="V15" i="35"/>
  <c r="W39" i="35"/>
  <c r="W55" i="35"/>
  <c r="W23" i="35"/>
  <c r="S72" i="35"/>
  <c r="T63" i="35"/>
  <c r="T69" i="35" s="1"/>
  <c r="T62" i="35"/>
  <c r="T68" i="35" s="1"/>
  <c r="U58" i="35"/>
  <c r="T45" i="35"/>
  <c r="U36" i="35"/>
  <c r="U42" i="35" s="1"/>
  <c r="U35" i="35"/>
  <c r="U41" i="35" s="1"/>
  <c r="V29" i="35"/>
  <c r="V31" i="35" s="1"/>
  <c r="V17" i="33"/>
  <c r="V16" i="33"/>
  <c r="V15" i="33"/>
  <c r="X7" i="33"/>
  <c r="W9" i="33"/>
  <c r="W10" i="33"/>
  <c r="X67" i="35" l="1"/>
  <c r="W17" i="35"/>
  <c r="W15" i="35"/>
  <c r="W56" i="35"/>
  <c r="Y7" i="35"/>
  <c r="Y55" i="35" s="1"/>
  <c r="X9" i="35"/>
  <c r="X10" i="35"/>
  <c r="X17" i="35" s="1"/>
  <c r="X66" i="35"/>
  <c r="X40" i="35"/>
  <c r="X23" i="35"/>
  <c r="X55" i="35"/>
  <c r="X28" i="35"/>
  <c r="X39" i="35"/>
  <c r="T72" i="35"/>
  <c r="U63" i="35"/>
  <c r="U69" i="35" s="1"/>
  <c r="U62" i="35"/>
  <c r="U68" i="35" s="1"/>
  <c r="V58" i="35"/>
  <c r="U45" i="35"/>
  <c r="V36" i="35"/>
  <c r="V42" i="35" s="1"/>
  <c r="V35" i="35"/>
  <c r="V41" i="35" s="1"/>
  <c r="W29" i="35"/>
  <c r="W31" i="35" s="1"/>
  <c r="Y7" i="33"/>
  <c r="X9" i="33"/>
  <c r="X10" i="33"/>
  <c r="W17" i="33"/>
  <c r="W16" i="33"/>
  <c r="W15" i="33"/>
  <c r="Z7" i="35" l="1"/>
  <c r="Z10" i="35" s="1"/>
  <c r="Y10" i="35"/>
  <c r="Y17" i="35" s="1"/>
  <c r="Y66" i="35"/>
  <c r="Y40" i="35"/>
  <c r="Y67" i="35"/>
  <c r="Y28" i="35"/>
  <c r="Y23" i="35"/>
  <c r="Y9" i="35"/>
  <c r="X15" i="35"/>
  <c r="X16" i="35"/>
  <c r="Y50" i="35"/>
  <c r="Y39" i="35"/>
  <c r="X56" i="35"/>
  <c r="U72" i="35"/>
  <c r="V62" i="35"/>
  <c r="V68" i="35" s="1"/>
  <c r="V63" i="35"/>
  <c r="V69" i="35" s="1"/>
  <c r="W58" i="35"/>
  <c r="V45" i="35"/>
  <c r="W35" i="35"/>
  <c r="W41" i="35" s="1"/>
  <c r="W36" i="35"/>
  <c r="W42" i="35" s="1"/>
  <c r="X29" i="35"/>
  <c r="X31" i="35" s="1"/>
  <c r="Y9" i="33"/>
  <c r="Y10" i="33"/>
  <c r="Z7" i="33"/>
  <c r="X17" i="33"/>
  <c r="X16" i="33"/>
  <c r="X15" i="33"/>
  <c r="Z66" i="35" l="1"/>
  <c r="Y56" i="35"/>
  <c r="AA7" i="35"/>
  <c r="AA67" i="35" s="1"/>
  <c r="Z28" i="35"/>
  <c r="Z67" i="35"/>
  <c r="Z9" i="35"/>
  <c r="Z40" i="35"/>
  <c r="Y15" i="35"/>
  <c r="Y16" i="35"/>
  <c r="Z50" i="35"/>
  <c r="Z23" i="35"/>
  <c r="Z39" i="35"/>
  <c r="Z55" i="35"/>
  <c r="V72" i="35"/>
  <c r="W62" i="35"/>
  <c r="W68" i="35" s="1"/>
  <c r="W63" i="35"/>
  <c r="W69" i="35" s="1"/>
  <c r="X58" i="35"/>
  <c r="Y29" i="35"/>
  <c r="Y31" i="35" s="1"/>
  <c r="Y35" i="35" s="1"/>
  <c r="Y41" i="35" s="1"/>
  <c r="W45" i="35"/>
  <c r="X35" i="35"/>
  <c r="X41" i="35" s="1"/>
  <c r="X36" i="35"/>
  <c r="X42" i="35" s="1"/>
  <c r="Z17" i="35"/>
  <c r="Z16" i="35"/>
  <c r="Z15" i="35"/>
  <c r="Y17" i="33"/>
  <c r="Y16" i="33"/>
  <c r="Y15" i="33"/>
  <c r="Z9" i="33"/>
  <c r="Z10" i="33"/>
  <c r="AA7" i="33"/>
  <c r="AA10" i="35" l="1"/>
  <c r="AA16" i="35" s="1"/>
  <c r="AB7" i="35"/>
  <c r="AB55" i="35" s="1"/>
  <c r="AA28" i="35"/>
  <c r="AA23" i="35"/>
  <c r="AA40" i="35"/>
  <c r="AA66" i="35"/>
  <c r="AA50" i="35"/>
  <c r="AA39" i="35"/>
  <c r="AA55" i="35"/>
  <c r="AA9" i="35"/>
  <c r="Z56" i="35"/>
  <c r="W72" i="35"/>
  <c r="X62" i="35"/>
  <c r="X68" i="35" s="1"/>
  <c r="X63" i="35"/>
  <c r="X69" i="35" s="1"/>
  <c r="AB66" i="35"/>
  <c r="Y58" i="35"/>
  <c r="Z29" i="35"/>
  <c r="Z31" i="35" s="1"/>
  <c r="Z35" i="35" s="1"/>
  <c r="Z41" i="35" s="1"/>
  <c r="Y36" i="35"/>
  <c r="Y42" i="35" s="1"/>
  <c r="Y45" i="35" s="1"/>
  <c r="X45" i="35"/>
  <c r="Z17" i="33"/>
  <c r="Z16" i="33"/>
  <c r="Z15" i="33"/>
  <c r="AA10" i="33"/>
  <c r="AA9" i="33"/>
  <c r="AB7" i="33"/>
  <c r="AB67" i="35" l="1"/>
  <c r="AB23" i="35"/>
  <c r="AB39" i="35"/>
  <c r="AA15" i="35"/>
  <c r="AA17" i="35"/>
  <c r="AC7" i="35"/>
  <c r="AC40" i="35" s="1"/>
  <c r="AB28" i="35"/>
  <c r="AB10" i="35"/>
  <c r="AB17" i="35" s="1"/>
  <c r="AB9" i="35"/>
  <c r="AB40" i="35"/>
  <c r="AB50" i="35"/>
  <c r="AA56" i="35"/>
  <c r="X72" i="35"/>
  <c r="Y62" i="35"/>
  <c r="Y68" i="35" s="1"/>
  <c r="Y63" i="35"/>
  <c r="Y69" i="35" s="1"/>
  <c r="AC67" i="35"/>
  <c r="Z58" i="35"/>
  <c r="Z36" i="35"/>
  <c r="Z42" i="35" s="1"/>
  <c r="Z45" i="35" s="1"/>
  <c r="AA29" i="35"/>
  <c r="AA31" i="35" s="1"/>
  <c r="AA35" i="35" s="1"/>
  <c r="AA41" i="35" s="1"/>
  <c r="AA17" i="33"/>
  <c r="AA16" i="33"/>
  <c r="AA15" i="33"/>
  <c r="AB9" i="33"/>
  <c r="AB10" i="33"/>
  <c r="AC7" i="33"/>
  <c r="AC50" i="35" l="1"/>
  <c r="AC10" i="35"/>
  <c r="AC16" i="35" s="1"/>
  <c r="AC39" i="35"/>
  <c r="AC66" i="35"/>
  <c r="AD7" i="35"/>
  <c r="AD50" i="35" s="1"/>
  <c r="AC23" i="35"/>
  <c r="AC55" i="35"/>
  <c r="AC9" i="35"/>
  <c r="AC28" i="35"/>
  <c r="AB15" i="35"/>
  <c r="AB56" i="35"/>
  <c r="AB16" i="35"/>
  <c r="Y72" i="35"/>
  <c r="Z62" i="35"/>
  <c r="Z68" i="35" s="1"/>
  <c r="Z63" i="35"/>
  <c r="Z69" i="35" s="1"/>
  <c r="AA58" i="35"/>
  <c r="AA36" i="35"/>
  <c r="AA42" i="35" s="1"/>
  <c r="AA45" i="35" s="1"/>
  <c r="AB29" i="35"/>
  <c r="AB31" i="35" s="1"/>
  <c r="AB35" i="35" s="1"/>
  <c r="AB41" i="35" s="1"/>
  <c r="AD7" i="33"/>
  <c r="AC10" i="33"/>
  <c r="AC9" i="33"/>
  <c r="AB17" i="33"/>
  <c r="AB16" i="33"/>
  <c r="AB15" i="33"/>
  <c r="AD66" i="35" l="1"/>
  <c r="AD67" i="35"/>
  <c r="AC15" i="35"/>
  <c r="AD28" i="35"/>
  <c r="AD23" i="35"/>
  <c r="AC17" i="35"/>
  <c r="AD39" i="35"/>
  <c r="AD40" i="35"/>
  <c r="AD9" i="35"/>
  <c r="AD55" i="35"/>
  <c r="AE7" i="35"/>
  <c r="AE50" i="35" s="1"/>
  <c r="AD10" i="35"/>
  <c r="AD17" i="35" s="1"/>
  <c r="AC56" i="35"/>
  <c r="Z72" i="35"/>
  <c r="AA62" i="35"/>
  <c r="AA68" i="35" s="1"/>
  <c r="AA63" i="35"/>
  <c r="AA69" i="35" s="1"/>
  <c r="AB58" i="35"/>
  <c r="AC29" i="35"/>
  <c r="AC31" i="35" s="1"/>
  <c r="AC35" i="35" s="1"/>
  <c r="AC41" i="35" s="1"/>
  <c r="AB36" i="35"/>
  <c r="AB42" i="35" s="1"/>
  <c r="AB45" i="35" s="1"/>
  <c r="AC16" i="33"/>
  <c r="AC17" i="33"/>
  <c r="AC15" i="33"/>
  <c r="AE7" i="33"/>
  <c r="AD9" i="33"/>
  <c r="AD10" i="33"/>
  <c r="AE23" i="35" l="1"/>
  <c r="AD15" i="35"/>
  <c r="AD16" i="35"/>
  <c r="AD56" i="35"/>
  <c r="AE55" i="35"/>
  <c r="AF7" i="35"/>
  <c r="AF40" i="35" s="1"/>
  <c r="AE39" i="35"/>
  <c r="AE10" i="35"/>
  <c r="AE16" i="35" s="1"/>
  <c r="AE66" i="35"/>
  <c r="AE40" i="35"/>
  <c r="AE9" i="35"/>
  <c r="AE67" i="35"/>
  <c r="AE28" i="35"/>
  <c r="AA72" i="35"/>
  <c r="AB63" i="35"/>
  <c r="AB69" i="35" s="1"/>
  <c r="AB62" i="35"/>
  <c r="AB68" i="35" s="1"/>
  <c r="AC36" i="35"/>
  <c r="AC42" i="35" s="1"/>
  <c r="AC45" i="35" s="1"/>
  <c r="AD29" i="35"/>
  <c r="AD31" i="35" s="1"/>
  <c r="AD36" i="35" s="1"/>
  <c r="AD42" i="35" s="1"/>
  <c r="AC58" i="35"/>
  <c r="AF7" i="33"/>
  <c r="AE9" i="33"/>
  <c r="AE10" i="33"/>
  <c r="AD17" i="33"/>
  <c r="AD16" i="33"/>
  <c r="AD15" i="33"/>
  <c r="AE56" i="35" l="1"/>
  <c r="AF28" i="35"/>
  <c r="AF23" i="35"/>
  <c r="AE17" i="35"/>
  <c r="AE15" i="35"/>
  <c r="AF55" i="35"/>
  <c r="AG7" i="35"/>
  <c r="AG55" i="35" s="1"/>
  <c r="AF39" i="35"/>
  <c r="AF67" i="35"/>
  <c r="AF50" i="35"/>
  <c r="AF10" i="35"/>
  <c r="AF16" i="35" s="1"/>
  <c r="AF66" i="35"/>
  <c r="AF9" i="35"/>
  <c r="AB72" i="35"/>
  <c r="AC63" i="35"/>
  <c r="AC69" i="35" s="1"/>
  <c r="AC62" i="35"/>
  <c r="AC68" i="35" s="1"/>
  <c r="AE29" i="35"/>
  <c r="AE31" i="35" s="1"/>
  <c r="AE35" i="35" s="1"/>
  <c r="AE41" i="35" s="1"/>
  <c r="AD35" i="35"/>
  <c r="AD41" i="35" s="1"/>
  <c r="AD45" i="35" s="1"/>
  <c r="AD58" i="35"/>
  <c r="AF9" i="33"/>
  <c r="AF10" i="33"/>
  <c r="AG7" i="33"/>
  <c r="AE16" i="33"/>
  <c r="AE17" i="33"/>
  <c r="AE15" i="33"/>
  <c r="AG66" i="35" l="1"/>
  <c r="AG23" i="35"/>
  <c r="AG28" i="35"/>
  <c r="AG39" i="35"/>
  <c r="AG67" i="35"/>
  <c r="AF56" i="35"/>
  <c r="AG56" i="35" s="1"/>
  <c r="AG40" i="35"/>
  <c r="AG10" i="35"/>
  <c r="AG17" i="35" s="1"/>
  <c r="AG9" i="35"/>
  <c r="AG50" i="35"/>
  <c r="AF15" i="35"/>
  <c r="AF17" i="35"/>
  <c r="AH7" i="35"/>
  <c r="AH50" i="35" s="1"/>
  <c r="AC72" i="35"/>
  <c r="AD62" i="35"/>
  <c r="AD68" i="35" s="1"/>
  <c r="AD63" i="35"/>
  <c r="AD69" i="35" s="1"/>
  <c r="AE36" i="35"/>
  <c r="AE42" i="35" s="1"/>
  <c r="AE45" i="35" s="1"/>
  <c r="AF29" i="35"/>
  <c r="AF31" i="35" s="1"/>
  <c r="AF35" i="35" s="1"/>
  <c r="AF41" i="35" s="1"/>
  <c r="AE58" i="35"/>
  <c r="AF16" i="33"/>
  <c r="AF17" i="33"/>
  <c r="AF15" i="33"/>
  <c r="AG9" i="33"/>
  <c r="AH7" i="33"/>
  <c r="AG10" i="33"/>
  <c r="AH40" i="35" l="1"/>
  <c r="AG15" i="35"/>
  <c r="AG16" i="35"/>
  <c r="AH55" i="35"/>
  <c r="AH56" i="35" s="1"/>
  <c r="AH10" i="35"/>
  <c r="AH16" i="35" s="1"/>
  <c r="AH28" i="35"/>
  <c r="AH23" i="35"/>
  <c r="AH9" i="35"/>
  <c r="AH67" i="35"/>
  <c r="AH39" i="35"/>
  <c r="AH66" i="35"/>
  <c r="AI7" i="35"/>
  <c r="AI55" i="35" s="1"/>
  <c r="AE62" i="35"/>
  <c r="AE68" i="35" s="1"/>
  <c r="AE63" i="35"/>
  <c r="AE69" i="35" s="1"/>
  <c r="AD72" i="35"/>
  <c r="AF36" i="35"/>
  <c r="AF42" i="35" s="1"/>
  <c r="AF45" i="35" s="1"/>
  <c r="AG29" i="35"/>
  <c r="AG31" i="35" s="1"/>
  <c r="AG35" i="35" s="1"/>
  <c r="AG41" i="35" s="1"/>
  <c r="AF58" i="35"/>
  <c r="AG17" i="33"/>
  <c r="AG16" i="33"/>
  <c r="AG15" i="33"/>
  <c r="AH9" i="33"/>
  <c r="AH10" i="33"/>
  <c r="AI7" i="33"/>
  <c r="AH17" i="35" l="1"/>
  <c r="AH15" i="35"/>
  <c r="AI40" i="35"/>
  <c r="AI9" i="35"/>
  <c r="AI23" i="35"/>
  <c r="AI50" i="35"/>
  <c r="AI56" i="35" s="1"/>
  <c r="AI10" i="35"/>
  <c r="AI16" i="35" s="1"/>
  <c r="AI28" i="35"/>
  <c r="AI39" i="35"/>
  <c r="AI66" i="35"/>
  <c r="AI67" i="35"/>
  <c r="AJ7" i="35"/>
  <c r="AJ23" i="35" s="1"/>
  <c r="AF62" i="35"/>
  <c r="AF68" i="35" s="1"/>
  <c r="AF63" i="35"/>
  <c r="AF69" i="35" s="1"/>
  <c r="AE72" i="35"/>
  <c r="AH29" i="35"/>
  <c r="AH31" i="35" s="1"/>
  <c r="AH35" i="35" s="1"/>
  <c r="AH41" i="35" s="1"/>
  <c r="AG36" i="35"/>
  <c r="AG42" i="35" s="1"/>
  <c r="AG45" i="35" s="1"/>
  <c r="AG58" i="35"/>
  <c r="AH17" i="33"/>
  <c r="AH16" i="33"/>
  <c r="AH15" i="33"/>
  <c r="AI10" i="33"/>
  <c r="AI9" i="33"/>
  <c r="AJ7" i="33"/>
  <c r="AJ9" i="35" l="1"/>
  <c r="AJ28" i="35"/>
  <c r="AI15" i="35"/>
  <c r="AI17" i="35"/>
  <c r="AJ50" i="35"/>
  <c r="AJ55" i="35"/>
  <c r="AJ10" i="35"/>
  <c r="AJ15" i="35" s="1"/>
  <c r="AJ40" i="35"/>
  <c r="AJ66" i="35"/>
  <c r="AK7" i="35"/>
  <c r="AK50" i="35" s="1"/>
  <c r="AJ39" i="35"/>
  <c r="AJ67" i="35"/>
  <c r="AH36" i="35"/>
  <c r="AH42" i="35" s="1"/>
  <c r="AH45" i="35" s="1"/>
  <c r="AI29" i="35"/>
  <c r="AI31" i="35" s="1"/>
  <c r="AI36" i="35" s="1"/>
  <c r="AI42" i="35" s="1"/>
  <c r="AG62" i="35"/>
  <c r="AG68" i="35" s="1"/>
  <c r="AG63" i="35"/>
  <c r="AG69" i="35" s="1"/>
  <c r="AF72" i="35"/>
  <c r="AH58" i="35"/>
  <c r="AI17" i="33"/>
  <c r="AI16" i="33"/>
  <c r="AI15" i="33"/>
  <c r="AK7" i="33"/>
  <c r="AJ9" i="33"/>
  <c r="AJ10" i="33"/>
  <c r="AJ56" i="35" l="1"/>
  <c r="AJ16" i="35"/>
  <c r="AK23" i="35"/>
  <c r="AJ17" i="35"/>
  <c r="AK39" i="35"/>
  <c r="AK40" i="35"/>
  <c r="AK67" i="35"/>
  <c r="AK9" i="35"/>
  <c r="AK10" i="35"/>
  <c r="AK17" i="35" s="1"/>
  <c r="AK66" i="35"/>
  <c r="AL7" i="35"/>
  <c r="AL39" i="35" s="1"/>
  <c r="AK55" i="35"/>
  <c r="AK56" i="35" s="1"/>
  <c r="AK28" i="35"/>
  <c r="AJ29" i="35"/>
  <c r="AJ31" i="35" s="1"/>
  <c r="AJ35" i="35" s="1"/>
  <c r="AJ41" i="35" s="1"/>
  <c r="AI35" i="35"/>
  <c r="AI41" i="35" s="1"/>
  <c r="AI45" i="35" s="1"/>
  <c r="AG72" i="35"/>
  <c r="AH63" i="35"/>
  <c r="AH69" i="35" s="1"/>
  <c r="AH62" i="35"/>
  <c r="AH68" i="35" s="1"/>
  <c r="AI58" i="35"/>
  <c r="AK10" i="33"/>
  <c r="AL7" i="33"/>
  <c r="AK9" i="33"/>
  <c r="AJ17" i="33"/>
  <c r="AJ16" i="33"/>
  <c r="AJ15" i="33"/>
  <c r="AL40" i="35" l="1"/>
  <c r="AL67" i="35"/>
  <c r="AM7" i="35"/>
  <c r="AM66" i="35" s="1"/>
  <c r="AK15" i="35"/>
  <c r="AK16" i="35"/>
  <c r="AL50" i="35"/>
  <c r="AL9" i="35"/>
  <c r="AL66" i="35"/>
  <c r="AL28" i="35"/>
  <c r="AL23" i="35"/>
  <c r="AL55" i="35"/>
  <c r="AL10" i="35"/>
  <c r="AL17" i="35" s="1"/>
  <c r="AK29" i="35"/>
  <c r="AK31" i="35" s="1"/>
  <c r="AK36" i="35" s="1"/>
  <c r="AK42" i="35" s="1"/>
  <c r="AJ36" i="35"/>
  <c r="AJ42" i="35" s="1"/>
  <c r="AJ45" i="35" s="1"/>
  <c r="AH72" i="35"/>
  <c r="AI62" i="35"/>
  <c r="AI68" i="35" s="1"/>
  <c r="AI63" i="35"/>
  <c r="AI69" i="35" s="1"/>
  <c r="AJ58" i="35"/>
  <c r="AM28" i="35"/>
  <c r="AK17" i="33"/>
  <c r="AK16" i="33"/>
  <c r="AK15" i="33"/>
  <c r="AM7" i="33"/>
  <c r="AL9" i="33"/>
  <c r="AL10" i="33"/>
  <c r="AL15" i="35" l="1"/>
  <c r="AM50" i="35"/>
  <c r="AM23" i="35"/>
  <c r="AM67" i="35"/>
  <c r="AM9" i="35"/>
  <c r="AN7" i="35"/>
  <c r="AN67" i="35" s="1"/>
  <c r="AM39" i="35"/>
  <c r="AL56" i="35"/>
  <c r="AM56" i="35" s="1"/>
  <c r="AM40" i="35"/>
  <c r="AM10" i="35"/>
  <c r="AM15" i="35" s="1"/>
  <c r="AM55" i="35"/>
  <c r="AL16" i="35"/>
  <c r="AL29" i="35"/>
  <c r="AL31" i="35" s="1"/>
  <c r="AL35" i="35" s="1"/>
  <c r="AL41" i="35" s="1"/>
  <c r="AK35" i="35"/>
  <c r="AK41" i="35" s="1"/>
  <c r="AK45" i="35" s="1"/>
  <c r="AI72" i="35"/>
  <c r="AJ62" i="35"/>
  <c r="AJ68" i="35" s="1"/>
  <c r="AJ63" i="35"/>
  <c r="AJ69" i="35" s="1"/>
  <c r="AK58" i="35"/>
  <c r="AL17" i="33"/>
  <c r="AL16" i="33"/>
  <c r="AL15" i="33"/>
  <c r="AN7" i="33"/>
  <c r="AM9" i="33"/>
  <c r="AM10" i="33"/>
  <c r="AO7" i="35" l="1"/>
  <c r="AO67" i="35" s="1"/>
  <c r="AN28" i="35"/>
  <c r="AN23" i="35"/>
  <c r="AN40" i="35"/>
  <c r="AN39" i="35"/>
  <c r="AN66" i="35"/>
  <c r="AN50" i="35"/>
  <c r="AN55" i="35"/>
  <c r="AN56" i="35" s="1"/>
  <c r="AN10" i="35"/>
  <c r="AN17" i="35" s="1"/>
  <c r="AN9" i="35"/>
  <c r="AM17" i="35"/>
  <c r="AM16" i="35"/>
  <c r="AL36" i="35"/>
  <c r="AL42" i="35" s="1"/>
  <c r="AL45" i="35" s="1"/>
  <c r="AM29" i="35"/>
  <c r="AM31" i="35" s="1"/>
  <c r="AM36" i="35" s="1"/>
  <c r="AM42" i="35" s="1"/>
  <c r="AJ72" i="35"/>
  <c r="AK63" i="35"/>
  <c r="AK69" i="35" s="1"/>
  <c r="AK62" i="35"/>
  <c r="AK68" i="35" s="1"/>
  <c r="AL58" i="35"/>
  <c r="AM17" i="33"/>
  <c r="AM16" i="33"/>
  <c r="AM15" i="33"/>
  <c r="AO7" i="33"/>
  <c r="AN9" i="33"/>
  <c r="AN10" i="33"/>
  <c r="AO10" i="35" l="1"/>
  <c r="AO28" i="35"/>
  <c r="AO66" i="35"/>
  <c r="AO39" i="35"/>
  <c r="AO40" i="35"/>
  <c r="AO9" i="35"/>
  <c r="AO50" i="35"/>
  <c r="AO56" i="35" s="1"/>
  <c r="AP7" i="35"/>
  <c r="AP39" i="35" s="1"/>
  <c r="AO55" i="35"/>
  <c r="AO23" i="35"/>
  <c r="AN15" i="35"/>
  <c r="AN16" i="35"/>
  <c r="AM35" i="35"/>
  <c r="AM41" i="35" s="1"/>
  <c r="AM45" i="35" s="1"/>
  <c r="AN29" i="35"/>
  <c r="AN31" i="35" s="1"/>
  <c r="AN35" i="35" s="1"/>
  <c r="AN41" i="35" s="1"/>
  <c r="AL62" i="35"/>
  <c r="AL68" i="35" s="1"/>
  <c r="AL63" i="35"/>
  <c r="AL69" i="35" s="1"/>
  <c r="AK72" i="35"/>
  <c r="AM58" i="35"/>
  <c r="AO16" i="35"/>
  <c r="AO15" i="35"/>
  <c r="AO17" i="35"/>
  <c r="AN17" i="33"/>
  <c r="AN16" i="33"/>
  <c r="AN15" i="33"/>
  <c r="AO9" i="33"/>
  <c r="AO10" i="33"/>
  <c r="AP7" i="33"/>
  <c r="AQ7" i="35" l="1"/>
  <c r="AQ55" i="35" s="1"/>
  <c r="AP40" i="35"/>
  <c r="AP28" i="35"/>
  <c r="AP50" i="35"/>
  <c r="AP9" i="35"/>
  <c r="AP55" i="35"/>
  <c r="AP23" i="35"/>
  <c r="AP66" i="35"/>
  <c r="AP67" i="35"/>
  <c r="AP10" i="35"/>
  <c r="AP17" i="35" s="1"/>
  <c r="AN36" i="35"/>
  <c r="AN42" i="35" s="1"/>
  <c r="AN45" i="35" s="1"/>
  <c r="AO29" i="35"/>
  <c r="AO31" i="35" s="1"/>
  <c r="AO35" i="35" s="1"/>
  <c r="AO41" i="35" s="1"/>
  <c r="AM62" i="35"/>
  <c r="AM68" i="35" s="1"/>
  <c r="AM63" i="35"/>
  <c r="AM69" i="35" s="1"/>
  <c r="AL72" i="35"/>
  <c r="AQ66" i="35"/>
  <c r="AQ67" i="35"/>
  <c r="AN58" i="35"/>
  <c r="AQ39" i="35"/>
  <c r="AQ28" i="35"/>
  <c r="AQ10" i="35"/>
  <c r="AQ9" i="35"/>
  <c r="AQ23" i="35"/>
  <c r="AP16" i="35"/>
  <c r="AP9" i="33"/>
  <c r="AP10" i="33"/>
  <c r="AQ7" i="33"/>
  <c r="AO17" i="33"/>
  <c r="AO16" i="33"/>
  <c r="AO15" i="33"/>
  <c r="AQ40" i="35" l="1"/>
  <c r="AR7" i="35"/>
  <c r="AR40" i="35" s="1"/>
  <c r="AQ50" i="35"/>
  <c r="AP56" i="35"/>
  <c r="AP15" i="35"/>
  <c r="AO36" i="35"/>
  <c r="AO42" i="35" s="1"/>
  <c r="AO45" i="35" s="1"/>
  <c r="AP29" i="35"/>
  <c r="AP31" i="35" s="1"/>
  <c r="AP35" i="35" s="1"/>
  <c r="AP41" i="35" s="1"/>
  <c r="AM72" i="35"/>
  <c r="AN62" i="35"/>
  <c r="AN68" i="35" s="1"/>
  <c r="AN63" i="35"/>
  <c r="AN69" i="35" s="1"/>
  <c r="AR66" i="35"/>
  <c r="AR67" i="35"/>
  <c r="AQ56" i="35"/>
  <c r="AR55" i="35"/>
  <c r="AR50" i="35"/>
  <c r="AO58" i="35"/>
  <c r="AQ17" i="35"/>
  <c r="AQ16" i="35"/>
  <c r="AQ15" i="35"/>
  <c r="AR23" i="35"/>
  <c r="AR28" i="35"/>
  <c r="AR9" i="35"/>
  <c r="AQ10" i="33"/>
  <c r="AR7" i="33"/>
  <c r="AQ9" i="33"/>
  <c r="AP17" i="33"/>
  <c r="AP16" i="33"/>
  <c r="AP15" i="33"/>
  <c r="AR39" i="35" l="1"/>
  <c r="AR10" i="35"/>
  <c r="AQ29" i="35"/>
  <c r="AQ31" i="35" s="1"/>
  <c r="AQ35" i="35" s="1"/>
  <c r="AQ41" i="35" s="1"/>
  <c r="AP36" i="35"/>
  <c r="AP42" i="35" s="1"/>
  <c r="AP45" i="35" s="1"/>
  <c r="AN72" i="35"/>
  <c r="AO63" i="35"/>
  <c r="AO69" i="35" s="1"/>
  <c r="AO62" i="35"/>
  <c r="AO68" i="35" s="1"/>
  <c r="AR56" i="35"/>
  <c r="AP58" i="35"/>
  <c r="AR16" i="35"/>
  <c r="AR17" i="35"/>
  <c r="AR15" i="35"/>
  <c r="AQ17" i="33"/>
  <c r="AQ16" i="33"/>
  <c r="AQ15" i="33"/>
  <c r="AR9" i="33"/>
  <c r="AR10" i="33"/>
  <c r="AR29" i="35" l="1"/>
  <c r="AR31" i="35" s="1"/>
  <c r="AR35" i="35" s="1"/>
  <c r="AQ36" i="35"/>
  <c r="AQ42" i="35" s="1"/>
  <c r="AQ45" i="35" s="1"/>
  <c r="AP62" i="35"/>
  <c r="AP68" i="35" s="1"/>
  <c r="AP63" i="35"/>
  <c r="AP69" i="35" s="1"/>
  <c r="AO72" i="35"/>
  <c r="AQ58" i="35"/>
  <c r="AR17" i="33"/>
  <c r="AR15" i="33"/>
  <c r="AR16" i="33"/>
  <c r="D29" i="35" l="1"/>
  <c r="AR36" i="35"/>
  <c r="AR42" i="35" s="1"/>
  <c r="D42" i="35" s="1"/>
  <c r="AQ62" i="35"/>
  <c r="AQ68" i="35" s="1"/>
  <c r="AQ63" i="35"/>
  <c r="AQ69" i="35" s="1"/>
  <c r="AP72" i="35"/>
  <c r="AR58" i="35"/>
  <c r="D56" i="35"/>
  <c r="D35" i="35"/>
  <c r="AR41" i="35"/>
  <c r="D31" i="35"/>
  <c r="AF13" i="17"/>
  <c r="D36" i="35" l="1"/>
  <c r="AR62" i="35"/>
  <c r="AR63" i="35"/>
  <c r="AQ72" i="35"/>
  <c r="D58" i="35"/>
  <c r="AR45" i="35"/>
  <c r="D41" i="35"/>
  <c r="D48" i="29"/>
  <c r="D86" i="29"/>
  <c r="D69" i="29"/>
  <c r="D31" i="29"/>
  <c r="D90" i="29"/>
  <c r="D85" i="29"/>
  <c r="D68" i="29"/>
  <c r="D52" i="29"/>
  <c r="D47" i="29"/>
  <c r="D30" i="29"/>
  <c r="D17" i="29"/>
  <c r="D16" i="29"/>
  <c r="D15" i="29"/>
  <c r="F8" i="29"/>
  <c r="G8" i="29" s="1"/>
  <c r="H8" i="29" s="1"/>
  <c r="I8" i="29" s="1"/>
  <c r="J8" i="29" s="1"/>
  <c r="K8" i="29" s="1"/>
  <c r="L8" i="29" s="1"/>
  <c r="M8" i="29" s="1"/>
  <c r="N8" i="29" s="1"/>
  <c r="O8" i="29" s="1"/>
  <c r="P8" i="29" s="1"/>
  <c r="Q8" i="29" s="1"/>
  <c r="R8" i="29" s="1"/>
  <c r="S8" i="29" s="1"/>
  <c r="T8" i="29" s="1"/>
  <c r="U8" i="29" s="1"/>
  <c r="V8" i="29" s="1"/>
  <c r="W8" i="29" s="1"/>
  <c r="X8" i="29" s="1"/>
  <c r="Y8" i="29" s="1"/>
  <c r="Z8" i="29" s="1"/>
  <c r="AA8" i="29" s="1"/>
  <c r="AB8" i="29" s="1"/>
  <c r="AC8" i="29" s="1"/>
  <c r="AD8" i="29" s="1"/>
  <c r="AE8" i="29" s="1"/>
  <c r="AF8" i="29" s="1"/>
  <c r="AG8" i="29" s="1"/>
  <c r="AH8" i="29" s="1"/>
  <c r="AI8" i="29" s="1"/>
  <c r="AJ8" i="29" s="1"/>
  <c r="AK8" i="29" s="1"/>
  <c r="AL8" i="29" s="1"/>
  <c r="AM8" i="29" s="1"/>
  <c r="AN8" i="29" s="1"/>
  <c r="AO8" i="29" s="1"/>
  <c r="AP8" i="29" s="1"/>
  <c r="AQ8" i="29" s="1"/>
  <c r="AR8" i="29" s="1"/>
  <c r="F7" i="29"/>
  <c r="F9" i="29" s="1"/>
  <c r="A4" i="29"/>
  <c r="A1" i="29"/>
  <c r="AR68" i="35" l="1"/>
  <c r="D62" i="35"/>
  <c r="AR69" i="35"/>
  <c r="D69" i="35" s="1"/>
  <c r="D63" i="35"/>
  <c r="D45" i="35"/>
  <c r="F78" i="29"/>
  <c r="F83" i="29"/>
  <c r="F66" i="29"/>
  <c r="F61" i="29"/>
  <c r="D65" i="29"/>
  <c r="D82" i="29"/>
  <c r="F73" i="29"/>
  <c r="F90" i="29"/>
  <c r="F40" i="29"/>
  <c r="F52" i="29"/>
  <c r="F45" i="29"/>
  <c r="F23" i="29"/>
  <c r="D44" i="29"/>
  <c r="F35" i="29"/>
  <c r="D27" i="29"/>
  <c r="F28" i="29"/>
  <c r="G7" i="29"/>
  <c r="G66" i="29" s="1"/>
  <c r="D68" i="35" l="1"/>
  <c r="AR72" i="35"/>
  <c r="D72" i="35" s="1"/>
  <c r="F84" i="29"/>
  <c r="F87" i="29" s="1"/>
  <c r="F91" i="29" s="1"/>
  <c r="G78" i="29"/>
  <c r="G61" i="29"/>
  <c r="G83" i="29"/>
  <c r="F67" i="29"/>
  <c r="G73" i="29"/>
  <c r="G90" i="29"/>
  <c r="F46" i="29"/>
  <c r="G35" i="29"/>
  <c r="G23" i="29"/>
  <c r="G45" i="29"/>
  <c r="G52" i="29"/>
  <c r="G40" i="29"/>
  <c r="F29" i="29"/>
  <c r="F32" i="29" s="1"/>
  <c r="F36" i="29" s="1"/>
  <c r="H7" i="29"/>
  <c r="G9" i="29"/>
  <c r="G28" i="29"/>
  <c r="G84" i="29" l="1"/>
  <c r="H61" i="29"/>
  <c r="H83" i="29"/>
  <c r="H66" i="29"/>
  <c r="H78" i="29"/>
  <c r="F49" i="29"/>
  <c r="F53" i="29" s="1"/>
  <c r="F56" i="29" s="1"/>
  <c r="G67" i="29"/>
  <c r="F70" i="29"/>
  <c r="F74" i="29" s="1"/>
  <c r="F94" i="29" s="1"/>
  <c r="H73" i="29"/>
  <c r="H90" i="29"/>
  <c r="G46" i="29"/>
  <c r="H35" i="29"/>
  <c r="H45" i="29"/>
  <c r="H52" i="29"/>
  <c r="H40" i="29"/>
  <c r="H23" i="29"/>
  <c r="G29" i="29"/>
  <c r="G32" i="29" s="1"/>
  <c r="G36" i="29" s="1"/>
  <c r="H28" i="29"/>
  <c r="I7" i="29"/>
  <c r="H9" i="29"/>
  <c r="H84" i="29" l="1"/>
  <c r="H87" i="29" s="1"/>
  <c r="H91" i="29" s="1"/>
  <c r="G87" i="29"/>
  <c r="G91" i="29" s="1"/>
  <c r="I66" i="29"/>
  <c r="I61" i="29"/>
  <c r="I83" i="29"/>
  <c r="I78" i="29"/>
  <c r="H67" i="29"/>
  <c r="G70" i="29"/>
  <c r="G74" i="29" s="1"/>
  <c r="G49" i="29"/>
  <c r="G53" i="29" s="1"/>
  <c r="G56" i="29" s="1"/>
  <c r="I90" i="29"/>
  <c r="I73" i="29"/>
  <c r="H46" i="29"/>
  <c r="I45" i="29"/>
  <c r="I23" i="29"/>
  <c r="I52" i="29"/>
  <c r="I40" i="29"/>
  <c r="H10" i="29"/>
  <c r="H17" i="29" s="1"/>
  <c r="I35" i="29"/>
  <c r="H29" i="29"/>
  <c r="H32" i="29" s="1"/>
  <c r="H36" i="29" s="1"/>
  <c r="J7" i="29"/>
  <c r="I28" i="29"/>
  <c r="I9" i="29"/>
  <c r="I10" i="29"/>
  <c r="F10" i="29"/>
  <c r="G10" i="29"/>
  <c r="G94" i="29" l="1"/>
  <c r="I84" i="29"/>
  <c r="I87" i="29" s="1"/>
  <c r="I91" i="29" s="1"/>
  <c r="J66" i="29"/>
  <c r="J61" i="29"/>
  <c r="J83" i="29"/>
  <c r="J78" i="29"/>
  <c r="H49" i="29"/>
  <c r="H53" i="29" s="1"/>
  <c r="H56" i="29" s="1"/>
  <c r="I67" i="29"/>
  <c r="H70" i="29"/>
  <c r="H74" i="29" s="1"/>
  <c r="H94" i="29" s="1"/>
  <c r="J90" i="29"/>
  <c r="J73" i="29"/>
  <c r="I46" i="29"/>
  <c r="J35" i="29"/>
  <c r="J45" i="29"/>
  <c r="J23" i="29"/>
  <c r="J52" i="29"/>
  <c r="J40" i="29"/>
  <c r="H15" i="29"/>
  <c r="H16" i="29"/>
  <c r="I29" i="29"/>
  <c r="I32" i="29" s="1"/>
  <c r="I36" i="29" s="1"/>
  <c r="G15" i="29"/>
  <c r="G17" i="29"/>
  <c r="G16" i="29"/>
  <c r="F16" i="29"/>
  <c r="F17" i="29"/>
  <c r="F15" i="29"/>
  <c r="I15" i="29"/>
  <c r="I16" i="29"/>
  <c r="I17" i="29"/>
  <c r="K7" i="29"/>
  <c r="J28" i="29"/>
  <c r="J9" i="29"/>
  <c r="J10" i="29"/>
  <c r="P80" i="26"/>
  <c r="Q80" i="26" s="1"/>
  <c r="R80" i="26" s="1"/>
  <c r="S80" i="26" s="1"/>
  <c r="T80" i="26" s="1"/>
  <c r="U80" i="26" s="1"/>
  <c r="V80" i="26" s="1"/>
  <c r="W80" i="26" s="1"/>
  <c r="X80" i="26" s="1"/>
  <c r="Y80" i="26" s="1"/>
  <c r="Z80" i="26" s="1"/>
  <c r="AA80" i="26" s="1"/>
  <c r="AB80" i="26" s="1"/>
  <c r="AC80" i="26" s="1"/>
  <c r="AD80" i="26" s="1"/>
  <c r="AE80" i="26" s="1"/>
  <c r="AF80" i="26" s="1"/>
  <c r="AG80" i="26" s="1"/>
  <c r="AH80" i="26" s="1"/>
  <c r="D36" i="28"/>
  <c r="B29" i="28"/>
  <c r="D17" i="28"/>
  <c r="D16" i="28"/>
  <c r="D15" i="28"/>
  <c r="F8" i="28"/>
  <c r="G8" i="28" s="1"/>
  <c r="H8" i="28" s="1"/>
  <c r="I8" i="28" s="1"/>
  <c r="J8" i="28" s="1"/>
  <c r="K8" i="28" s="1"/>
  <c r="L8" i="28" s="1"/>
  <c r="M8" i="28" s="1"/>
  <c r="N8" i="28" s="1"/>
  <c r="O8" i="28" s="1"/>
  <c r="P8" i="28" s="1"/>
  <c r="Q8" i="28" s="1"/>
  <c r="R8" i="28" s="1"/>
  <c r="S8" i="28" s="1"/>
  <c r="T8" i="28" s="1"/>
  <c r="U8" i="28" s="1"/>
  <c r="V8" i="28" s="1"/>
  <c r="W8" i="28" s="1"/>
  <c r="X8" i="28" s="1"/>
  <c r="Y8" i="28" s="1"/>
  <c r="Z8" i="28" s="1"/>
  <c r="AA8" i="28" s="1"/>
  <c r="AB8" i="28" s="1"/>
  <c r="AC8" i="28" s="1"/>
  <c r="AD8" i="28" s="1"/>
  <c r="AE8" i="28" s="1"/>
  <c r="AF8" i="28" s="1"/>
  <c r="AG8" i="28" s="1"/>
  <c r="AH8" i="28" s="1"/>
  <c r="AI8" i="28" s="1"/>
  <c r="AJ8" i="28" s="1"/>
  <c r="AK8" i="28" s="1"/>
  <c r="AL8" i="28" s="1"/>
  <c r="AM8" i="28" s="1"/>
  <c r="AN8" i="28" s="1"/>
  <c r="AO8" i="28" s="1"/>
  <c r="AP8" i="28" s="1"/>
  <c r="AQ8" i="28" s="1"/>
  <c r="AR8" i="28" s="1"/>
  <c r="F7" i="28"/>
  <c r="A4" i="28"/>
  <c r="A1" i="28"/>
  <c r="D85" i="26"/>
  <c r="D97" i="26"/>
  <c r="D60" i="26"/>
  <c r="D95" i="26"/>
  <c r="B95" i="26"/>
  <c r="D91" i="26"/>
  <c r="B89" i="26"/>
  <c r="B51" i="26"/>
  <c r="D58" i="26"/>
  <c r="B58" i="26"/>
  <c r="D81" i="26"/>
  <c r="D80" i="26"/>
  <c r="D35" i="26"/>
  <c r="D34" i="26"/>
  <c r="D17" i="26"/>
  <c r="D16" i="26"/>
  <c r="D15" i="26"/>
  <c r="F8" i="26"/>
  <c r="G8" i="26" s="1"/>
  <c r="H8" i="26" s="1"/>
  <c r="I8" i="26" s="1"/>
  <c r="J8" i="26" s="1"/>
  <c r="K8" i="26" s="1"/>
  <c r="L8" i="26" s="1"/>
  <c r="M8" i="26" s="1"/>
  <c r="N8" i="26" s="1"/>
  <c r="O8" i="26" s="1"/>
  <c r="P8" i="26" s="1"/>
  <c r="Q8" i="26" s="1"/>
  <c r="R8" i="26" s="1"/>
  <c r="S8" i="26" s="1"/>
  <c r="T8" i="26" s="1"/>
  <c r="U8" i="26" s="1"/>
  <c r="V8" i="26" s="1"/>
  <c r="W8" i="26" s="1"/>
  <c r="X8" i="26" s="1"/>
  <c r="Y8" i="26" s="1"/>
  <c r="Z8" i="26" s="1"/>
  <c r="AA8" i="26" s="1"/>
  <c r="AB8" i="26" s="1"/>
  <c r="AC8" i="26" s="1"/>
  <c r="AD8" i="26" s="1"/>
  <c r="AE8" i="26" s="1"/>
  <c r="AF8" i="26" s="1"/>
  <c r="AG8" i="26" s="1"/>
  <c r="AH8" i="26" s="1"/>
  <c r="AI8" i="26" s="1"/>
  <c r="AJ8" i="26" s="1"/>
  <c r="AK8" i="26" s="1"/>
  <c r="AL8" i="26" s="1"/>
  <c r="AM8" i="26" s="1"/>
  <c r="AN8" i="26" s="1"/>
  <c r="AO8" i="26" s="1"/>
  <c r="AP8" i="26" s="1"/>
  <c r="AQ8" i="26" s="1"/>
  <c r="AR8" i="26" s="1"/>
  <c r="F7" i="26"/>
  <c r="G7" i="26" s="1"/>
  <c r="A4" i="26"/>
  <c r="A1" i="26"/>
  <c r="J84" i="29" l="1"/>
  <c r="J87" i="29" s="1"/>
  <c r="J91" i="29" s="1"/>
  <c r="K66" i="29"/>
  <c r="K83" i="29"/>
  <c r="K78" i="29"/>
  <c r="K61" i="29"/>
  <c r="J67" i="29"/>
  <c r="I70" i="29"/>
  <c r="I74" i="29" s="1"/>
  <c r="I94" i="29" s="1"/>
  <c r="I49" i="29"/>
  <c r="I53" i="29" s="1"/>
  <c r="I56" i="29" s="1"/>
  <c r="K90" i="29"/>
  <c r="K73" i="29"/>
  <c r="J46" i="29"/>
  <c r="K35" i="29"/>
  <c r="K23" i="29"/>
  <c r="K52" i="29"/>
  <c r="K40" i="29"/>
  <c r="K45" i="29"/>
  <c r="J29" i="29"/>
  <c r="J32" i="29" s="1"/>
  <c r="J36" i="29" s="1"/>
  <c r="J15" i="29"/>
  <c r="J16" i="29"/>
  <c r="J17" i="29"/>
  <c r="K9" i="29"/>
  <c r="K28" i="29"/>
  <c r="K10" i="29"/>
  <c r="L7" i="29"/>
  <c r="D90" i="26"/>
  <c r="D92" i="26" s="1"/>
  <c r="F9" i="28"/>
  <c r="G7" i="28"/>
  <c r="D54" i="26"/>
  <c r="G76" i="26"/>
  <c r="G71" i="26"/>
  <c r="F71" i="26"/>
  <c r="F76" i="26"/>
  <c r="D75" i="26"/>
  <c r="G29" i="26"/>
  <c r="D28" i="26"/>
  <c r="F24" i="26"/>
  <c r="G24" i="26"/>
  <c r="F29" i="26"/>
  <c r="F9" i="26"/>
  <c r="H7" i="26"/>
  <c r="G9" i="26"/>
  <c r="K84" i="29" l="1"/>
  <c r="K87" i="29" s="1"/>
  <c r="K91" i="29" s="1"/>
  <c r="L78" i="29"/>
  <c r="L61" i="29"/>
  <c r="L83" i="29"/>
  <c r="L66" i="29"/>
  <c r="J49" i="29"/>
  <c r="J53" i="29" s="1"/>
  <c r="J56" i="29" s="1"/>
  <c r="K67" i="29"/>
  <c r="J70" i="29"/>
  <c r="J74" i="29" s="1"/>
  <c r="J94" i="29" s="1"/>
  <c r="L73" i="29"/>
  <c r="L90" i="29"/>
  <c r="K46" i="29"/>
  <c r="L35" i="29"/>
  <c r="L52" i="29"/>
  <c r="L40" i="29"/>
  <c r="L23" i="29"/>
  <c r="L45" i="29"/>
  <c r="K29" i="29"/>
  <c r="K32" i="29" s="1"/>
  <c r="K36" i="29" s="1"/>
  <c r="L28" i="29"/>
  <c r="L9" i="29"/>
  <c r="L10" i="29"/>
  <c r="M7" i="29"/>
  <c r="K17" i="29"/>
  <c r="K16" i="29"/>
  <c r="K15" i="29"/>
  <c r="H7" i="28"/>
  <c r="G9" i="28"/>
  <c r="F77" i="26"/>
  <c r="H76" i="26"/>
  <c r="H71" i="26"/>
  <c r="H24" i="26"/>
  <c r="H29" i="26"/>
  <c r="F30" i="26"/>
  <c r="F43" i="26" s="1"/>
  <c r="H9" i="26"/>
  <c r="I7" i="26"/>
  <c r="G77" i="26" l="1"/>
  <c r="G84" i="26" s="1"/>
  <c r="G86" i="26" s="1"/>
  <c r="F37" i="26"/>
  <c r="F46" i="26" s="1"/>
  <c r="F48" i="26" s="1"/>
  <c r="L84" i="29"/>
  <c r="L87" i="29" s="1"/>
  <c r="M66" i="29"/>
  <c r="M78" i="29"/>
  <c r="M61" i="29"/>
  <c r="M83" i="29"/>
  <c r="L67" i="29"/>
  <c r="K70" i="29"/>
  <c r="K74" i="29" s="1"/>
  <c r="K94" i="29" s="1"/>
  <c r="K49" i="29"/>
  <c r="K53" i="29" s="1"/>
  <c r="K56" i="29" s="1"/>
  <c r="M73" i="29"/>
  <c r="M90" i="29"/>
  <c r="L46" i="29"/>
  <c r="M35" i="29"/>
  <c r="M52" i="29"/>
  <c r="M40" i="29"/>
  <c r="M23" i="29"/>
  <c r="M45" i="29"/>
  <c r="L29" i="29"/>
  <c r="L32" i="29" s="1"/>
  <c r="L36" i="29" s="1"/>
  <c r="L15" i="29"/>
  <c r="L16" i="29"/>
  <c r="L17" i="29"/>
  <c r="M28" i="29"/>
  <c r="M9" i="29"/>
  <c r="M10" i="29"/>
  <c r="N7" i="29"/>
  <c r="I7" i="28"/>
  <c r="H9" i="28"/>
  <c r="F84" i="26"/>
  <c r="F86" i="26" s="1"/>
  <c r="I71" i="26"/>
  <c r="I76" i="26"/>
  <c r="I24" i="26"/>
  <c r="I29" i="26"/>
  <c r="G30" i="26"/>
  <c r="G43" i="26" s="1"/>
  <c r="I10" i="26"/>
  <c r="J7" i="26"/>
  <c r="F10" i="26"/>
  <c r="I9" i="26"/>
  <c r="G10" i="26"/>
  <c r="H10" i="26"/>
  <c r="H77" i="26" l="1"/>
  <c r="H84" i="26" s="1"/>
  <c r="H86" i="26" s="1"/>
  <c r="G37" i="26"/>
  <c r="G46" i="26" s="1"/>
  <c r="G48" i="26" s="1"/>
  <c r="M84" i="29"/>
  <c r="M87" i="29" s="1"/>
  <c r="M91" i="29" s="1"/>
  <c r="N83" i="29"/>
  <c r="N66" i="29"/>
  <c r="N61" i="29"/>
  <c r="N78" i="29"/>
  <c r="L49" i="29"/>
  <c r="L53" i="29" s="1"/>
  <c r="L56" i="29" s="1"/>
  <c r="M67" i="29"/>
  <c r="L70" i="29"/>
  <c r="L74" i="29" s="1"/>
  <c r="L91" i="29"/>
  <c r="N73" i="29"/>
  <c r="N90" i="29"/>
  <c r="M46" i="29"/>
  <c r="N35" i="29"/>
  <c r="N52" i="29"/>
  <c r="N45" i="29"/>
  <c r="N40" i="29"/>
  <c r="N23" i="29"/>
  <c r="M29" i="29"/>
  <c r="M32" i="29" s="1"/>
  <c r="M36" i="29" s="1"/>
  <c r="N28" i="29"/>
  <c r="N10" i="29"/>
  <c r="O7" i="29"/>
  <c r="N9" i="29"/>
  <c r="M17" i="29"/>
  <c r="M16" i="29"/>
  <c r="M15" i="29"/>
  <c r="I10" i="28"/>
  <c r="J7" i="28"/>
  <c r="I9" i="28"/>
  <c r="F10" i="28"/>
  <c r="G10" i="28"/>
  <c r="H10" i="28"/>
  <c r="J71" i="26"/>
  <c r="J76" i="26"/>
  <c r="H30" i="26"/>
  <c r="H43" i="26" s="1"/>
  <c r="J24" i="26"/>
  <c r="J29" i="26"/>
  <c r="G17" i="26"/>
  <c r="G16" i="26"/>
  <c r="G15" i="26"/>
  <c r="H17" i="26"/>
  <c r="H16" i="26"/>
  <c r="H15" i="26"/>
  <c r="F15" i="26"/>
  <c r="F17" i="26"/>
  <c r="F16" i="26"/>
  <c r="J9" i="26"/>
  <c r="J10" i="26"/>
  <c r="K7" i="26"/>
  <c r="I17" i="26"/>
  <c r="I16" i="26"/>
  <c r="I15" i="26"/>
  <c r="I77" i="26" l="1"/>
  <c r="J77" i="26" s="1"/>
  <c r="H37" i="26"/>
  <c r="H46" i="26" s="1"/>
  <c r="H48" i="26" s="1"/>
  <c r="N84" i="29"/>
  <c r="N87" i="29" s="1"/>
  <c r="N91" i="29" s="1"/>
  <c r="L94" i="29"/>
  <c r="O66" i="29"/>
  <c r="O78" i="29"/>
  <c r="O61" i="29"/>
  <c r="O83" i="29"/>
  <c r="N67" i="29"/>
  <c r="M70" i="29"/>
  <c r="M74" i="29" s="1"/>
  <c r="M94" i="29" s="1"/>
  <c r="M49" i="29"/>
  <c r="M53" i="29" s="1"/>
  <c r="M56" i="29" s="1"/>
  <c r="O73" i="29"/>
  <c r="O90" i="29"/>
  <c r="N46" i="29"/>
  <c r="O35" i="29"/>
  <c r="O45" i="29"/>
  <c r="O23" i="29"/>
  <c r="O52" i="29"/>
  <c r="O40" i="29"/>
  <c r="N29" i="29"/>
  <c r="N32" i="29" s="1"/>
  <c r="N36" i="29" s="1"/>
  <c r="P7" i="29"/>
  <c r="O9" i="29"/>
  <c r="O10" i="29"/>
  <c r="O28" i="29"/>
  <c r="N16" i="29"/>
  <c r="N17" i="29"/>
  <c r="N15" i="29"/>
  <c r="H15" i="28"/>
  <c r="H17" i="28"/>
  <c r="H16" i="28"/>
  <c r="I17" i="28"/>
  <c r="I16" i="28"/>
  <c r="I15" i="28"/>
  <c r="G15" i="28"/>
  <c r="G17" i="28"/>
  <c r="G16" i="28"/>
  <c r="F16" i="28"/>
  <c r="F15" i="28"/>
  <c r="F17" i="28"/>
  <c r="J9" i="28"/>
  <c r="J10" i="28"/>
  <c r="K7" i="28"/>
  <c r="K71" i="26"/>
  <c r="K76" i="26"/>
  <c r="K24" i="26"/>
  <c r="K29" i="26"/>
  <c r="I30" i="26"/>
  <c r="I43" i="26" s="1"/>
  <c r="K10" i="26"/>
  <c r="L7" i="26"/>
  <c r="K9" i="26"/>
  <c r="J17" i="26"/>
  <c r="J16" i="26"/>
  <c r="J15" i="26"/>
  <c r="I84" i="26" l="1"/>
  <c r="I86" i="26" s="1"/>
  <c r="I37" i="26"/>
  <c r="I46" i="26" s="1"/>
  <c r="I48" i="26" s="1"/>
  <c r="O84" i="29"/>
  <c r="O87" i="29" s="1"/>
  <c r="P78" i="29"/>
  <c r="P83" i="29"/>
  <c r="P66" i="29"/>
  <c r="P61" i="29"/>
  <c r="N49" i="29"/>
  <c r="N53" i="29" s="1"/>
  <c r="N56" i="29" s="1"/>
  <c r="O67" i="29"/>
  <c r="N70" i="29"/>
  <c r="N74" i="29" s="1"/>
  <c r="N94" i="29" s="1"/>
  <c r="P73" i="29"/>
  <c r="P90" i="29"/>
  <c r="O46" i="29"/>
  <c r="P35" i="29"/>
  <c r="P45" i="29"/>
  <c r="P23" i="29"/>
  <c r="P52" i="29"/>
  <c r="P40" i="29"/>
  <c r="O29" i="29"/>
  <c r="O32" i="29" s="1"/>
  <c r="O36" i="29" s="1"/>
  <c r="P28" i="29"/>
  <c r="Q7" i="29"/>
  <c r="P10" i="29"/>
  <c r="P9" i="29"/>
  <c r="O17" i="29"/>
  <c r="O15" i="29"/>
  <c r="O16" i="29"/>
  <c r="K10" i="28"/>
  <c r="L7" i="28"/>
  <c r="K9" i="28"/>
  <c r="J17" i="28"/>
  <c r="J16" i="28"/>
  <c r="J15" i="28"/>
  <c r="L76" i="26"/>
  <c r="L71" i="26"/>
  <c r="K77" i="26"/>
  <c r="J84" i="26"/>
  <c r="J86" i="26" s="1"/>
  <c r="J30" i="26"/>
  <c r="J43" i="26" s="1"/>
  <c r="L24" i="26"/>
  <c r="L29" i="26"/>
  <c r="K17" i="26"/>
  <c r="K16" i="26"/>
  <c r="K15" i="26"/>
  <c r="M7" i="26"/>
  <c r="L9" i="26"/>
  <c r="L10" i="26"/>
  <c r="J37" i="26" l="1"/>
  <c r="J46" i="26" s="1"/>
  <c r="J48" i="26" s="1"/>
  <c r="P84" i="29"/>
  <c r="P87" i="29" s="1"/>
  <c r="Q78" i="29"/>
  <c r="Q61" i="29"/>
  <c r="Q66" i="29"/>
  <c r="Q83" i="29"/>
  <c r="P67" i="29"/>
  <c r="O70" i="29"/>
  <c r="O74" i="29" s="1"/>
  <c r="O49" i="29"/>
  <c r="O53" i="29" s="1"/>
  <c r="O56" i="29" s="1"/>
  <c r="O91" i="29"/>
  <c r="Q90" i="29"/>
  <c r="Q73" i="29"/>
  <c r="P46" i="29"/>
  <c r="Q35" i="29"/>
  <c r="Q45" i="29"/>
  <c r="Q23" i="29"/>
  <c r="Q52" i="29"/>
  <c r="Q40" i="29"/>
  <c r="P29" i="29"/>
  <c r="P32" i="29" s="1"/>
  <c r="P36" i="29" s="1"/>
  <c r="P16" i="29"/>
  <c r="P17" i="29"/>
  <c r="P15" i="29"/>
  <c r="R7" i="29"/>
  <c r="Q9" i="29"/>
  <c r="Q28" i="29"/>
  <c r="Q10" i="29"/>
  <c r="K17" i="28"/>
  <c r="K16" i="28"/>
  <c r="K15" i="28"/>
  <c r="L10" i="28"/>
  <c r="L9" i="28"/>
  <c r="M7" i="28"/>
  <c r="L77" i="26"/>
  <c r="K84" i="26"/>
  <c r="K86" i="26" s="1"/>
  <c r="M71" i="26"/>
  <c r="M76" i="26"/>
  <c r="M24" i="26"/>
  <c r="M29" i="26"/>
  <c r="K30" i="26"/>
  <c r="K43" i="26" s="1"/>
  <c r="L15" i="26"/>
  <c r="L17" i="26"/>
  <c r="L16" i="26"/>
  <c r="N7" i="26"/>
  <c r="M10" i="26"/>
  <c r="M9" i="26"/>
  <c r="K37" i="26" l="1"/>
  <c r="K46" i="26" s="1"/>
  <c r="K48" i="26" s="1"/>
  <c r="Q84" i="29"/>
  <c r="Q87" i="29" s="1"/>
  <c r="R66" i="29"/>
  <c r="R78" i="29"/>
  <c r="R83" i="29"/>
  <c r="R61" i="29"/>
  <c r="P49" i="29"/>
  <c r="P53" i="29" s="1"/>
  <c r="P56" i="29" s="1"/>
  <c r="O94" i="29"/>
  <c r="Q67" i="29"/>
  <c r="P70" i="29"/>
  <c r="P74" i="29" s="1"/>
  <c r="P91" i="29"/>
  <c r="R90" i="29"/>
  <c r="R73" i="29"/>
  <c r="Q46" i="29"/>
  <c r="R35" i="29"/>
  <c r="R45" i="29"/>
  <c r="R23" i="29"/>
  <c r="R52" i="29"/>
  <c r="R40" i="29"/>
  <c r="Q29" i="29"/>
  <c r="Q32" i="29" s="1"/>
  <c r="Q36" i="29" s="1"/>
  <c r="S7" i="29"/>
  <c r="R9" i="29"/>
  <c r="R10" i="29"/>
  <c r="R28" i="29"/>
  <c r="Q15" i="29"/>
  <c r="Q17" i="29"/>
  <c r="Q16" i="29"/>
  <c r="L17" i="28"/>
  <c r="L16" i="28"/>
  <c r="L15" i="28"/>
  <c r="M10" i="28"/>
  <c r="M9" i="28"/>
  <c r="N7" i="28"/>
  <c r="N71" i="26"/>
  <c r="N76" i="26"/>
  <c r="M77" i="26"/>
  <c r="L84" i="26"/>
  <c r="L86" i="26" s="1"/>
  <c r="L30" i="26"/>
  <c r="L43" i="26" s="1"/>
  <c r="N24" i="26"/>
  <c r="N29" i="26"/>
  <c r="N10" i="26"/>
  <c r="N9" i="26"/>
  <c r="O7" i="26"/>
  <c r="M17" i="26"/>
  <c r="M16" i="26"/>
  <c r="M15" i="26"/>
  <c r="L37" i="26" l="1"/>
  <c r="L46" i="26" s="1"/>
  <c r="L48" i="26" s="1"/>
  <c r="R84" i="29"/>
  <c r="R87" i="29" s="1"/>
  <c r="P94" i="29"/>
  <c r="S61" i="29"/>
  <c r="S78" i="29"/>
  <c r="S66" i="29"/>
  <c r="S83" i="29"/>
  <c r="Q49" i="29"/>
  <c r="Q53" i="29" s="1"/>
  <c r="Q56" i="29" s="1"/>
  <c r="R67" i="29"/>
  <c r="Q70" i="29"/>
  <c r="Q74" i="29" s="1"/>
  <c r="S90" i="29"/>
  <c r="S73" i="29"/>
  <c r="Q91" i="29"/>
  <c r="R46" i="29"/>
  <c r="S35" i="29"/>
  <c r="S23" i="29"/>
  <c r="S52" i="29"/>
  <c r="S40" i="29"/>
  <c r="S45" i="29"/>
  <c r="R29" i="29"/>
  <c r="R32" i="29" s="1"/>
  <c r="R36" i="29" s="1"/>
  <c r="R15" i="29"/>
  <c r="R16" i="29"/>
  <c r="R17" i="29"/>
  <c r="S9" i="29"/>
  <c r="S10" i="29"/>
  <c r="S28" i="29"/>
  <c r="T7" i="29"/>
  <c r="N9" i="28"/>
  <c r="O7" i="28"/>
  <c r="N10" i="28"/>
  <c r="M17" i="28"/>
  <c r="M16" i="28"/>
  <c r="M15" i="28"/>
  <c r="N77" i="26"/>
  <c r="M84" i="26"/>
  <c r="M86" i="26" s="1"/>
  <c r="O71" i="26"/>
  <c r="O76" i="26"/>
  <c r="O24" i="26"/>
  <c r="O29" i="26"/>
  <c r="M30" i="26"/>
  <c r="M43" i="26" s="1"/>
  <c r="N17" i="26"/>
  <c r="N16" i="26"/>
  <c r="N15" i="26"/>
  <c r="P7" i="26"/>
  <c r="O9" i="26"/>
  <c r="O10" i="26"/>
  <c r="M37" i="26" l="1"/>
  <c r="M46" i="26" s="1"/>
  <c r="M48" i="26" s="1"/>
  <c r="S84" i="29"/>
  <c r="S87" i="29" s="1"/>
  <c r="T61" i="29"/>
  <c r="T78" i="29"/>
  <c r="T83" i="29"/>
  <c r="T66" i="29"/>
  <c r="Q94" i="29"/>
  <c r="S67" i="29"/>
  <c r="R70" i="29"/>
  <c r="R74" i="29" s="1"/>
  <c r="R49" i="29"/>
  <c r="R53" i="29" s="1"/>
  <c r="R56" i="29" s="1"/>
  <c r="T73" i="29"/>
  <c r="T90" i="29"/>
  <c r="R91" i="29"/>
  <c r="S46" i="29"/>
  <c r="T35" i="29"/>
  <c r="T52" i="29"/>
  <c r="T40" i="29"/>
  <c r="T23" i="29"/>
  <c r="T45" i="29"/>
  <c r="S29" i="29"/>
  <c r="S32" i="29" s="1"/>
  <c r="S36" i="29" s="1"/>
  <c r="T9" i="29"/>
  <c r="T10" i="29"/>
  <c r="T28" i="29"/>
  <c r="U7" i="29"/>
  <c r="S17" i="29"/>
  <c r="S16" i="29"/>
  <c r="S15" i="29"/>
  <c r="N17" i="28"/>
  <c r="N16" i="28"/>
  <c r="N15" i="28"/>
  <c r="O10" i="28"/>
  <c r="P7" i="28"/>
  <c r="O9" i="28"/>
  <c r="P71" i="26"/>
  <c r="P76" i="26"/>
  <c r="O77" i="26"/>
  <c r="O78" i="26" s="1"/>
  <c r="O79" i="26" s="1"/>
  <c r="N84" i="26"/>
  <c r="N86" i="26" s="1"/>
  <c r="N30" i="26"/>
  <c r="N43" i="26" s="1"/>
  <c r="P24" i="26"/>
  <c r="P29" i="26"/>
  <c r="P9" i="26"/>
  <c r="P10" i="26"/>
  <c r="Q7" i="26"/>
  <c r="O17" i="26"/>
  <c r="O16" i="26"/>
  <c r="O81" i="26" s="1"/>
  <c r="O15" i="26"/>
  <c r="N37" i="26" l="1"/>
  <c r="N46" i="26" s="1"/>
  <c r="N48" i="26" s="1"/>
  <c r="T84" i="29"/>
  <c r="T87" i="29" s="1"/>
  <c r="U78" i="29"/>
  <c r="U66" i="29"/>
  <c r="U61" i="29"/>
  <c r="U83" i="29"/>
  <c r="S49" i="29"/>
  <c r="S53" i="29" s="1"/>
  <c r="S56" i="29" s="1"/>
  <c r="T67" i="29"/>
  <c r="S70" i="29"/>
  <c r="S74" i="29" s="1"/>
  <c r="R94" i="29"/>
  <c r="S91" i="29"/>
  <c r="U73" i="29"/>
  <c r="U90" i="29"/>
  <c r="T46" i="29"/>
  <c r="U35" i="29"/>
  <c r="U52" i="29"/>
  <c r="U23" i="29"/>
  <c r="U40" i="29"/>
  <c r="U45" i="29"/>
  <c r="T29" i="29"/>
  <c r="T32" i="29" s="1"/>
  <c r="T36" i="29" s="1"/>
  <c r="U9" i="29"/>
  <c r="U10" i="29"/>
  <c r="U28" i="29"/>
  <c r="V7" i="29"/>
  <c r="T15" i="29"/>
  <c r="T16" i="29"/>
  <c r="T17" i="29"/>
  <c r="Q7" i="28"/>
  <c r="P10" i="28"/>
  <c r="P9" i="28"/>
  <c r="O17" i="28"/>
  <c r="O16" i="28"/>
  <c r="O15" i="28"/>
  <c r="P77" i="26"/>
  <c r="P78" i="26" s="1"/>
  <c r="P79" i="26" s="1"/>
  <c r="O84" i="26"/>
  <c r="O86" i="26" s="1"/>
  <c r="Q71" i="26"/>
  <c r="Q76" i="26"/>
  <c r="Q24" i="26"/>
  <c r="Q29" i="26"/>
  <c r="O30" i="26"/>
  <c r="O43" i="26" s="1"/>
  <c r="Q10" i="26"/>
  <c r="R7" i="26"/>
  <c r="Q9" i="26"/>
  <c r="P17" i="26"/>
  <c r="P16" i="26"/>
  <c r="P81" i="26" s="1"/>
  <c r="P15" i="26"/>
  <c r="O37" i="26" l="1"/>
  <c r="O46" i="26" s="1"/>
  <c r="O48" i="26" s="1"/>
  <c r="U84" i="29"/>
  <c r="U87" i="29" s="1"/>
  <c r="V78" i="29"/>
  <c r="V83" i="29"/>
  <c r="V61" i="29"/>
  <c r="V66" i="29"/>
  <c r="T49" i="29"/>
  <c r="T53" i="29" s="1"/>
  <c r="T56" i="29" s="1"/>
  <c r="U67" i="29"/>
  <c r="T70" i="29"/>
  <c r="T74" i="29" s="1"/>
  <c r="S94" i="29"/>
  <c r="T91" i="29"/>
  <c r="V73" i="29"/>
  <c r="V90" i="29"/>
  <c r="U46" i="29"/>
  <c r="V35" i="29"/>
  <c r="V52" i="29"/>
  <c r="V40" i="29"/>
  <c r="V45" i="29"/>
  <c r="V23" i="29"/>
  <c r="U29" i="29"/>
  <c r="U32" i="29" s="1"/>
  <c r="U36" i="29" s="1"/>
  <c r="V28" i="29"/>
  <c r="V10" i="29"/>
  <c r="W7" i="29"/>
  <c r="V9" i="29"/>
  <c r="U17" i="29"/>
  <c r="U16" i="29"/>
  <c r="U15" i="29"/>
  <c r="P16" i="28"/>
  <c r="P15" i="28"/>
  <c r="P17" i="28"/>
  <c r="Q9" i="28"/>
  <c r="R7" i="28"/>
  <c r="Q10" i="28"/>
  <c r="R76" i="26"/>
  <c r="R71" i="26"/>
  <c r="Q77" i="26"/>
  <c r="Q78" i="26" s="1"/>
  <c r="Q79" i="26" s="1"/>
  <c r="P84" i="26"/>
  <c r="P86" i="26" s="1"/>
  <c r="R24" i="26"/>
  <c r="R29" i="26"/>
  <c r="P30" i="26"/>
  <c r="P43" i="26" s="1"/>
  <c r="Q17" i="26"/>
  <c r="Q16" i="26"/>
  <c r="Q81" i="26" s="1"/>
  <c r="Q15" i="26"/>
  <c r="R9" i="26"/>
  <c r="R10" i="26"/>
  <c r="S7" i="26"/>
  <c r="P37" i="26" l="1"/>
  <c r="P46" i="26" s="1"/>
  <c r="P48" i="26" s="1"/>
  <c r="V84" i="29"/>
  <c r="W66" i="29"/>
  <c r="W78" i="29"/>
  <c r="W61" i="29"/>
  <c r="W83" i="29"/>
  <c r="T94" i="29"/>
  <c r="V67" i="29"/>
  <c r="U70" i="29"/>
  <c r="U74" i="29" s="1"/>
  <c r="U49" i="29"/>
  <c r="U53" i="29" s="1"/>
  <c r="U56" i="29" s="1"/>
  <c r="U91" i="29"/>
  <c r="W73" i="29"/>
  <c r="W90" i="29"/>
  <c r="V46" i="29"/>
  <c r="W35" i="29"/>
  <c r="W45" i="29"/>
  <c r="W23" i="29"/>
  <c r="W52" i="29"/>
  <c r="W40" i="29"/>
  <c r="V29" i="29"/>
  <c r="V32" i="29" s="1"/>
  <c r="V36" i="29" s="1"/>
  <c r="W28" i="29"/>
  <c r="X7" i="29"/>
  <c r="W9" i="29"/>
  <c r="W10" i="29"/>
  <c r="V15" i="29"/>
  <c r="V16" i="29"/>
  <c r="V17" i="29"/>
  <c r="R9" i="28"/>
  <c r="R10" i="28"/>
  <c r="S7" i="28"/>
  <c r="Q17" i="28"/>
  <c r="Q16" i="28"/>
  <c r="Q15" i="28"/>
  <c r="R77" i="26"/>
  <c r="R78" i="26" s="1"/>
  <c r="R79" i="26" s="1"/>
  <c r="Q84" i="26"/>
  <c r="Q86" i="26" s="1"/>
  <c r="S71" i="26"/>
  <c r="S76" i="26"/>
  <c r="S24" i="26"/>
  <c r="S29" i="26"/>
  <c r="Q30" i="26"/>
  <c r="Q43" i="26" s="1"/>
  <c r="R17" i="26"/>
  <c r="R16" i="26"/>
  <c r="R81" i="26" s="1"/>
  <c r="R15" i="26"/>
  <c r="S10" i="26"/>
  <c r="T7" i="26"/>
  <c r="S9" i="26"/>
  <c r="Q37" i="26" l="1"/>
  <c r="Q46" i="26" s="1"/>
  <c r="Q48" i="26" s="1"/>
  <c r="W84" i="29"/>
  <c r="W87" i="29" s="1"/>
  <c r="V87" i="29"/>
  <c r="V91" i="29" s="1"/>
  <c r="X83" i="29"/>
  <c r="X66" i="29"/>
  <c r="X61" i="29"/>
  <c r="X78" i="29"/>
  <c r="U94" i="29"/>
  <c r="V49" i="29"/>
  <c r="V53" i="29" s="1"/>
  <c r="V56" i="29" s="1"/>
  <c r="W67" i="29"/>
  <c r="V70" i="29"/>
  <c r="V74" i="29" s="1"/>
  <c r="X73" i="29"/>
  <c r="X90" i="29"/>
  <c r="W46" i="29"/>
  <c r="X35" i="29"/>
  <c r="X45" i="29"/>
  <c r="X23" i="29"/>
  <c r="X52" i="29"/>
  <c r="X40" i="29"/>
  <c r="W29" i="29"/>
  <c r="W32" i="29" s="1"/>
  <c r="W36" i="29" s="1"/>
  <c r="W15" i="29"/>
  <c r="W16" i="29"/>
  <c r="W17" i="29"/>
  <c r="X28" i="29"/>
  <c r="Y7" i="29"/>
  <c r="X10" i="29"/>
  <c r="X9" i="29"/>
  <c r="S10" i="28"/>
  <c r="T7" i="28"/>
  <c r="S9" i="28"/>
  <c r="R16" i="28"/>
  <c r="R15" i="28"/>
  <c r="R17" i="28"/>
  <c r="T76" i="26"/>
  <c r="T71" i="26"/>
  <c r="S77" i="26"/>
  <c r="S78" i="26" s="1"/>
  <c r="S79" i="26" s="1"/>
  <c r="R84" i="26"/>
  <c r="R86" i="26" s="1"/>
  <c r="T24" i="26"/>
  <c r="T29" i="26"/>
  <c r="R30" i="26"/>
  <c r="R43" i="26" s="1"/>
  <c r="U7" i="26"/>
  <c r="T9" i="26"/>
  <c r="T10" i="26"/>
  <c r="S17" i="26"/>
  <c r="S16" i="26"/>
  <c r="S81" i="26" s="1"/>
  <c r="S15" i="26"/>
  <c r="R37" i="26" l="1"/>
  <c r="R46" i="26" s="1"/>
  <c r="R48" i="26" s="1"/>
  <c r="X84" i="29"/>
  <c r="X87" i="29" s="1"/>
  <c r="V94" i="29"/>
  <c r="Y83" i="29"/>
  <c r="Y78" i="29"/>
  <c r="Y66" i="29"/>
  <c r="Y61" i="29"/>
  <c r="X67" i="29"/>
  <c r="W70" i="29"/>
  <c r="W74" i="29" s="1"/>
  <c r="W49" i="29"/>
  <c r="W53" i="29" s="1"/>
  <c r="W56" i="29" s="1"/>
  <c r="W91" i="29"/>
  <c r="Y90" i="29"/>
  <c r="Y73" i="29"/>
  <c r="X46" i="29"/>
  <c r="Y35" i="29"/>
  <c r="Y45" i="29"/>
  <c r="Y23" i="29"/>
  <c r="Y52" i="29"/>
  <c r="Y40" i="29"/>
  <c r="X29" i="29"/>
  <c r="X32" i="29" s="1"/>
  <c r="X36" i="29" s="1"/>
  <c r="X16" i="29"/>
  <c r="X17" i="29"/>
  <c r="X15" i="29"/>
  <c r="Y28" i="29"/>
  <c r="Z7" i="29"/>
  <c r="Y9" i="29"/>
  <c r="Y10" i="29"/>
  <c r="S15" i="28"/>
  <c r="S17" i="28"/>
  <c r="S16" i="28"/>
  <c r="T10" i="28"/>
  <c r="T9" i="28"/>
  <c r="U7" i="28"/>
  <c r="U71" i="26"/>
  <c r="U76" i="26"/>
  <c r="T77" i="26"/>
  <c r="T78" i="26" s="1"/>
  <c r="T79" i="26" s="1"/>
  <c r="S84" i="26"/>
  <c r="S86" i="26" s="1"/>
  <c r="U24" i="26"/>
  <c r="U29" i="26"/>
  <c r="S30" i="26"/>
  <c r="S43" i="26" s="1"/>
  <c r="V7" i="26"/>
  <c r="U10" i="26"/>
  <c r="U9" i="26"/>
  <c r="T17" i="26"/>
  <c r="T16" i="26"/>
  <c r="T81" i="26" s="1"/>
  <c r="T15" i="26"/>
  <c r="S37" i="26" l="1"/>
  <c r="S46" i="26" s="1"/>
  <c r="S48" i="26" s="1"/>
  <c r="Y84" i="29"/>
  <c r="Y87" i="29" s="1"/>
  <c r="Z66" i="29"/>
  <c r="Z78" i="29"/>
  <c r="Z61" i="29"/>
  <c r="Z83" i="29"/>
  <c r="Y67" i="29"/>
  <c r="X70" i="29"/>
  <c r="X74" i="29" s="1"/>
  <c r="W94" i="29"/>
  <c r="X49" i="29"/>
  <c r="X53" i="29" s="1"/>
  <c r="X56" i="29" s="1"/>
  <c r="X91" i="29"/>
  <c r="Z90" i="29"/>
  <c r="Z73" i="29"/>
  <c r="Y46" i="29"/>
  <c r="Z35" i="29"/>
  <c r="Z45" i="29"/>
  <c r="Z23" i="29"/>
  <c r="Z52" i="29"/>
  <c r="Z40" i="29"/>
  <c r="Y29" i="29"/>
  <c r="Y32" i="29" s="1"/>
  <c r="Y36" i="29" s="1"/>
  <c r="AA7" i="29"/>
  <c r="Z9" i="29"/>
  <c r="Z10" i="29"/>
  <c r="Z28" i="29"/>
  <c r="Y17" i="29"/>
  <c r="Y15" i="29"/>
  <c r="Y16" i="29"/>
  <c r="T17" i="28"/>
  <c r="T16" i="28"/>
  <c r="T15" i="28"/>
  <c r="U10" i="28"/>
  <c r="U9" i="28"/>
  <c r="V7" i="28"/>
  <c r="V71" i="26"/>
  <c r="V76" i="26"/>
  <c r="U77" i="26"/>
  <c r="U78" i="26" s="1"/>
  <c r="U79" i="26" s="1"/>
  <c r="T84" i="26"/>
  <c r="T86" i="26" s="1"/>
  <c r="T30" i="26"/>
  <c r="T43" i="26" s="1"/>
  <c r="V24" i="26"/>
  <c r="V29" i="26"/>
  <c r="U17" i="26"/>
  <c r="U16" i="26"/>
  <c r="U81" i="26" s="1"/>
  <c r="U15" i="26"/>
  <c r="V9" i="26"/>
  <c r="W7" i="26"/>
  <c r="V10" i="26"/>
  <c r="T37" i="26" l="1"/>
  <c r="T46" i="26" s="1"/>
  <c r="T48" i="26" s="1"/>
  <c r="Z84" i="29"/>
  <c r="Z87" i="29" s="1"/>
  <c r="AA61" i="29"/>
  <c r="AA78" i="29"/>
  <c r="AA83" i="29"/>
  <c r="AA66" i="29"/>
  <c r="Z67" i="29"/>
  <c r="Y70" i="29"/>
  <c r="Y74" i="29" s="1"/>
  <c r="Y49" i="29"/>
  <c r="Y53" i="29" s="1"/>
  <c r="Y56" i="29" s="1"/>
  <c r="X94" i="29"/>
  <c r="Y91" i="29"/>
  <c r="AA90" i="29"/>
  <c r="AA73" i="29"/>
  <c r="Z46" i="29"/>
  <c r="AA35" i="29"/>
  <c r="AA23" i="29"/>
  <c r="AA52" i="29"/>
  <c r="AA40" i="29"/>
  <c r="AA45" i="29"/>
  <c r="Z29" i="29"/>
  <c r="Z32" i="29" s="1"/>
  <c r="Z36" i="29" s="1"/>
  <c r="Z16" i="29"/>
  <c r="Z17" i="29"/>
  <c r="Z15" i="29"/>
  <c r="AA9" i="29"/>
  <c r="AA10" i="29"/>
  <c r="AA28" i="29"/>
  <c r="AB7" i="29"/>
  <c r="V9" i="28"/>
  <c r="V10" i="28"/>
  <c r="W7" i="28"/>
  <c r="U17" i="28"/>
  <c r="U16" i="28"/>
  <c r="U15" i="28"/>
  <c r="W71" i="26"/>
  <c r="W76" i="26"/>
  <c r="V77" i="26"/>
  <c r="V78" i="26" s="1"/>
  <c r="V79" i="26" s="1"/>
  <c r="U84" i="26"/>
  <c r="U86" i="26" s="1"/>
  <c r="W24" i="26"/>
  <c r="W29" i="26"/>
  <c r="U30" i="26"/>
  <c r="U43" i="26" s="1"/>
  <c r="V17" i="26"/>
  <c r="V15" i="26"/>
  <c r="V16" i="26"/>
  <c r="V81" i="26" s="1"/>
  <c r="X7" i="26"/>
  <c r="W9" i="26"/>
  <c r="W10" i="26"/>
  <c r="U37" i="26" l="1"/>
  <c r="U46" i="26" s="1"/>
  <c r="U48" i="26" s="1"/>
  <c r="AA84" i="29"/>
  <c r="AA87" i="29" s="1"/>
  <c r="AB66" i="29"/>
  <c r="AB61" i="29"/>
  <c r="AB83" i="29"/>
  <c r="AB78" i="29"/>
  <c r="Y94" i="29"/>
  <c r="AA67" i="29"/>
  <c r="Z70" i="29"/>
  <c r="Z74" i="29" s="1"/>
  <c r="Z49" i="29"/>
  <c r="Z53" i="29" s="1"/>
  <c r="Z56" i="29" s="1"/>
  <c r="Z91" i="29"/>
  <c r="AB73" i="29"/>
  <c r="AB90" i="29"/>
  <c r="AA46" i="29"/>
  <c r="AB35" i="29"/>
  <c r="AB52" i="29"/>
  <c r="AB40" i="29"/>
  <c r="AB45" i="29"/>
  <c r="AB23" i="29"/>
  <c r="AA29" i="29"/>
  <c r="AA32" i="29" s="1"/>
  <c r="AA36" i="29" s="1"/>
  <c r="AA17" i="29"/>
  <c r="AA16" i="29"/>
  <c r="AA15" i="29"/>
  <c r="AB9" i="29"/>
  <c r="AB10" i="29"/>
  <c r="AC7" i="29"/>
  <c r="AB28" i="29"/>
  <c r="V15" i="28"/>
  <c r="V17" i="28"/>
  <c r="V16" i="28"/>
  <c r="W10" i="28"/>
  <c r="W9" i="28"/>
  <c r="X7" i="28"/>
  <c r="X71" i="26"/>
  <c r="X76" i="26"/>
  <c r="W77" i="26"/>
  <c r="W78" i="26" s="1"/>
  <c r="W79" i="26" s="1"/>
  <c r="V84" i="26"/>
  <c r="V86" i="26" s="1"/>
  <c r="V30" i="26"/>
  <c r="V43" i="26" s="1"/>
  <c r="X24" i="26"/>
  <c r="X29" i="26"/>
  <c r="W17" i="26"/>
  <c r="W16" i="26"/>
  <c r="W81" i="26" s="1"/>
  <c r="W15" i="26"/>
  <c r="X9" i="26"/>
  <c r="X10" i="26"/>
  <c r="Y7" i="26"/>
  <c r="V37" i="26" l="1"/>
  <c r="V46" i="26" s="1"/>
  <c r="V48" i="26" s="1"/>
  <c r="AB84" i="29"/>
  <c r="AB87" i="29" s="1"/>
  <c r="AC78" i="29"/>
  <c r="AC61" i="29"/>
  <c r="AC83" i="29"/>
  <c r="AC66" i="29"/>
  <c r="AB67" i="29"/>
  <c r="AA70" i="29"/>
  <c r="AA74" i="29" s="1"/>
  <c r="Z94" i="29"/>
  <c r="AA49" i="29"/>
  <c r="AA53" i="29" s="1"/>
  <c r="AA56" i="29" s="1"/>
  <c r="AA91" i="29"/>
  <c r="AC73" i="29"/>
  <c r="AC90" i="29"/>
  <c r="AB46" i="29"/>
  <c r="AC35" i="29"/>
  <c r="AC23" i="29"/>
  <c r="AC52" i="29"/>
  <c r="AC40" i="29"/>
  <c r="AC45" i="29"/>
  <c r="AB29" i="29"/>
  <c r="AB32" i="29" s="1"/>
  <c r="AB36" i="29" s="1"/>
  <c r="AC9" i="29"/>
  <c r="AC10" i="29"/>
  <c r="AC28" i="29"/>
  <c r="AD7" i="29"/>
  <c r="AB15" i="29"/>
  <c r="AB17" i="29"/>
  <c r="AB16" i="29"/>
  <c r="X10" i="28"/>
  <c r="X9" i="28"/>
  <c r="Y7" i="28"/>
  <c r="W17" i="28"/>
  <c r="W16" i="28"/>
  <c r="W15" i="28"/>
  <c r="X77" i="26"/>
  <c r="X78" i="26" s="1"/>
  <c r="X79" i="26" s="1"/>
  <c r="W84" i="26"/>
  <c r="W86" i="26" s="1"/>
  <c r="Y71" i="26"/>
  <c r="Y76" i="26"/>
  <c r="Y24" i="26"/>
  <c r="Y29" i="26"/>
  <c r="W30" i="26"/>
  <c r="W43" i="26" s="1"/>
  <c r="Y10" i="26"/>
  <c r="Z7" i="26"/>
  <c r="Y9" i="26"/>
  <c r="X17" i="26"/>
  <c r="X16" i="26"/>
  <c r="X81" i="26" s="1"/>
  <c r="X15" i="26"/>
  <c r="W37" i="26" l="1"/>
  <c r="W46" i="26" s="1"/>
  <c r="W48" i="26" s="1"/>
  <c r="AC84" i="29"/>
  <c r="AC87" i="29" s="1"/>
  <c r="AD61" i="29"/>
  <c r="AD78" i="29"/>
  <c r="AD83" i="29"/>
  <c r="AD66" i="29"/>
  <c r="AB49" i="29"/>
  <c r="AB53" i="29" s="1"/>
  <c r="AB56" i="29" s="1"/>
  <c r="AC67" i="29"/>
  <c r="AB70" i="29"/>
  <c r="AB74" i="29" s="1"/>
  <c r="AA94" i="29"/>
  <c r="AB91" i="29"/>
  <c r="AD73" i="29"/>
  <c r="AD90" i="29"/>
  <c r="AC46" i="29"/>
  <c r="AD35" i="29"/>
  <c r="AD40" i="29"/>
  <c r="AD45" i="29"/>
  <c r="AD52" i="29"/>
  <c r="AD23" i="29"/>
  <c r="AC29" i="29"/>
  <c r="AC32" i="29" s="1"/>
  <c r="AC36" i="29" s="1"/>
  <c r="AD28" i="29"/>
  <c r="AD10" i="29"/>
  <c r="AE7" i="29"/>
  <c r="AD9" i="29"/>
  <c r="AC17" i="29"/>
  <c r="AC16" i="29"/>
  <c r="AC15" i="29"/>
  <c r="Y9" i="28"/>
  <c r="Y10" i="28"/>
  <c r="Z7" i="28"/>
  <c r="X17" i="28"/>
  <c r="X16" i="28"/>
  <c r="X15" i="28"/>
  <c r="Z76" i="26"/>
  <c r="Z71" i="26"/>
  <c r="Y77" i="26"/>
  <c r="Y78" i="26" s="1"/>
  <c r="Y79" i="26" s="1"/>
  <c r="X84" i="26"/>
  <c r="X86" i="26" s="1"/>
  <c r="X30" i="26"/>
  <c r="X43" i="26" s="1"/>
  <c r="Z24" i="26"/>
  <c r="Z29" i="26"/>
  <c r="Y17" i="26"/>
  <c r="Y16" i="26"/>
  <c r="Y81" i="26" s="1"/>
  <c r="Y15" i="26"/>
  <c r="Z9" i="26"/>
  <c r="Z10" i="26"/>
  <c r="AA7" i="26"/>
  <c r="X37" i="26" l="1"/>
  <c r="X46" i="26" s="1"/>
  <c r="X48" i="26" s="1"/>
  <c r="AD84" i="29"/>
  <c r="AD87" i="29" s="1"/>
  <c r="AE66" i="29"/>
  <c r="AE78" i="29"/>
  <c r="AE61" i="29"/>
  <c r="AE83" i="29"/>
  <c r="AD67" i="29"/>
  <c r="AC70" i="29"/>
  <c r="AC74" i="29" s="1"/>
  <c r="AC49" i="29"/>
  <c r="AC53" i="29" s="1"/>
  <c r="AC56" i="29" s="1"/>
  <c r="AB94" i="29"/>
  <c r="AC91" i="29"/>
  <c r="AE73" i="29"/>
  <c r="AE90" i="29"/>
  <c r="AD46" i="29"/>
  <c r="AE35" i="29"/>
  <c r="AE45" i="29"/>
  <c r="AE23" i="29"/>
  <c r="AE52" i="29"/>
  <c r="AE40" i="29"/>
  <c r="AD29" i="29"/>
  <c r="AD32" i="29" s="1"/>
  <c r="AD36" i="29" s="1"/>
  <c r="AE28" i="29"/>
  <c r="AF7" i="29"/>
  <c r="AE9" i="29"/>
  <c r="AE10" i="29"/>
  <c r="AD15" i="29"/>
  <c r="AD16" i="29"/>
  <c r="AD17" i="29"/>
  <c r="Z9" i="28"/>
  <c r="Z10" i="28"/>
  <c r="AA7" i="28"/>
  <c r="Y17" i="28"/>
  <c r="Y16" i="28"/>
  <c r="Y15" i="28"/>
  <c r="Z77" i="26"/>
  <c r="Z78" i="26" s="1"/>
  <c r="Z79" i="26" s="1"/>
  <c r="Y84" i="26"/>
  <c r="Y86" i="26" s="1"/>
  <c r="AA71" i="26"/>
  <c r="AA76" i="26"/>
  <c r="AA24" i="26"/>
  <c r="AA29" i="26"/>
  <c r="Y30" i="26"/>
  <c r="Y43" i="26" s="1"/>
  <c r="Z17" i="26"/>
  <c r="Z16" i="26"/>
  <c r="Z81" i="26" s="1"/>
  <c r="Z15" i="26"/>
  <c r="AA10" i="26"/>
  <c r="AB7" i="26"/>
  <c r="AA9" i="26"/>
  <c r="Y37" i="26" l="1"/>
  <c r="Y46" i="26" s="1"/>
  <c r="Y48" i="26" s="1"/>
  <c r="AE84" i="29"/>
  <c r="AE87" i="29" s="1"/>
  <c r="AC94" i="29"/>
  <c r="AF61" i="29"/>
  <c r="AF83" i="29"/>
  <c r="AF66" i="29"/>
  <c r="AF78" i="29"/>
  <c r="AD49" i="29"/>
  <c r="AD53" i="29" s="1"/>
  <c r="AD56" i="29" s="1"/>
  <c r="AE67" i="29"/>
  <c r="AD70" i="29"/>
  <c r="AD74" i="29" s="1"/>
  <c r="AD91" i="29"/>
  <c r="AF73" i="29"/>
  <c r="AF90" i="29"/>
  <c r="AE46" i="29"/>
  <c r="AF35" i="29"/>
  <c r="AF45" i="29"/>
  <c r="AF23" i="29"/>
  <c r="AF52" i="29"/>
  <c r="AF40" i="29"/>
  <c r="AE29" i="29"/>
  <c r="AE32" i="29" s="1"/>
  <c r="AE36" i="29" s="1"/>
  <c r="AE15" i="29"/>
  <c r="AE16" i="29"/>
  <c r="AE17" i="29"/>
  <c r="AF28" i="29"/>
  <c r="AG7" i="29"/>
  <c r="AF10" i="29"/>
  <c r="AF9" i="29"/>
  <c r="AA10" i="28"/>
  <c r="AA9" i="28"/>
  <c r="AB7" i="28"/>
  <c r="Z17" i="28"/>
  <c r="Z16" i="28"/>
  <c r="Z15" i="28"/>
  <c r="AB76" i="26"/>
  <c r="AB71" i="26"/>
  <c r="AA77" i="26"/>
  <c r="AA78" i="26" s="1"/>
  <c r="AA79" i="26" s="1"/>
  <c r="Z84" i="26"/>
  <c r="Z86" i="26" s="1"/>
  <c r="AB24" i="26"/>
  <c r="AB29" i="26"/>
  <c r="Z30" i="26"/>
  <c r="Z43" i="26" s="1"/>
  <c r="AC7" i="26"/>
  <c r="AB9" i="26"/>
  <c r="AB10" i="26"/>
  <c r="AA17" i="26"/>
  <c r="AA16" i="26"/>
  <c r="AA81" i="26" s="1"/>
  <c r="AA15" i="26"/>
  <c r="Z37" i="26" l="1"/>
  <c r="Z46" i="26" s="1"/>
  <c r="Z48" i="26" s="1"/>
  <c r="AF84" i="29"/>
  <c r="AF87" i="29" s="1"/>
  <c r="AG83" i="29"/>
  <c r="AG78" i="29"/>
  <c r="AG66" i="29"/>
  <c r="AG61" i="29"/>
  <c r="AF67" i="29"/>
  <c r="AE70" i="29"/>
  <c r="AE74" i="29" s="1"/>
  <c r="AD94" i="29"/>
  <c r="AE49" i="29"/>
  <c r="AE53" i="29" s="1"/>
  <c r="AE56" i="29" s="1"/>
  <c r="AE91" i="29"/>
  <c r="AG90" i="29"/>
  <c r="AG73" i="29"/>
  <c r="AF46" i="29"/>
  <c r="AG35" i="29"/>
  <c r="AG45" i="29"/>
  <c r="AG23" i="29"/>
  <c r="AG52" i="29"/>
  <c r="AG40" i="29"/>
  <c r="AF29" i="29"/>
  <c r="AF32" i="29" s="1"/>
  <c r="AF36" i="29" s="1"/>
  <c r="AF15" i="29"/>
  <c r="AF16" i="29"/>
  <c r="AF17" i="29"/>
  <c r="AH7" i="29"/>
  <c r="AG28" i="29"/>
  <c r="AG9" i="29"/>
  <c r="AG10" i="29"/>
  <c r="AA17" i="28"/>
  <c r="AA16" i="28"/>
  <c r="AA15" i="28"/>
  <c r="AB10" i="28"/>
  <c r="AB9" i="28"/>
  <c r="AC7" i="28"/>
  <c r="AB77" i="26"/>
  <c r="AB78" i="26" s="1"/>
  <c r="AB79" i="26" s="1"/>
  <c r="AA84" i="26"/>
  <c r="AA86" i="26" s="1"/>
  <c r="AC71" i="26"/>
  <c r="AC76" i="26"/>
  <c r="AC24" i="26"/>
  <c r="AC29" i="26"/>
  <c r="AA30" i="26"/>
  <c r="AA43" i="26" s="1"/>
  <c r="AD7" i="26"/>
  <c r="AC10" i="26"/>
  <c r="AC9" i="26"/>
  <c r="AB15" i="26"/>
  <c r="AB17" i="26"/>
  <c r="AB16" i="26"/>
  <c r="AB81" i="26" s="1"/>
  <c r="AA37" i="26" l="1"/>
  <c r="AA46" i="26" s="1"/>
  <c r="AA48" i="26" s="1"/>
  <c r="AG84" i="29"/>
  <c r="AG87" i="29" s="1"/>
  <c r="AH66" i="29"/>
  <c r="AH61" i="29"/>
  <c r="AH83" i="29"/>
  <c r="AH78" i="29"/>
  <c r="AE94" i="29"/>
  <c r="AG67" i="29"/>
  <c r="AF70" i="29"/>
  <c r="AF74" i="29" s="1"/>
  <c r="AF49" i="29"/>
  <c r="AF53" i="29" s="1"/>
  <c r="AF56" i="29" s="1"/>
  <c r="AF91" i="29"/>
  <c r="AH90" i="29"/>
  <c r="AH73" i="29"/>
  <c r="AG46" i="29"/>
  <c r="AH35" i="29"/>
  <c r="AH45" i="29"/>
  <c r="AH23" i="29"/>
  <c r="AH52" i="29"/>
  <c r="AH40" i="29"/>
  <c r="AG29" i="29"/>
  <c r="AG32" i="29" s="1"/>
  <c r="AG36" i="29" s="1"/>
  <c r="AI7" i="29"/>
  <c r="AH28" i="29"/>
  <c r="AH9" i="29"/>
  <c r="AH10" i="29"/>
  <c r="AG15" i="29"/>
  <c r="AG16" i="29"/>
  <c r="AG17" i="29"/>
  <c r="AC10" i="28"/>
  <c r="AC9" i="28"/>
  <c r="AD7" i="28"/>
  <c r="AB17" i="28"/>
  <c r="AB16" i="28"/>
  <c r="AB15" i="28"/>
  <c r="AD71" i="26"/>
  <c r="AD76" i="26"/>
  <c r="AC77" i="26"/>
  <c r="AC78" i="26" s="1"/>
  <c r="AC79" i="26" s="1"/>
  <c r="AB84" i="26"/>
  <c r="AB86" i="26" s="1"/>
  <c r="AD24" i="26"/>
  <c r="AD29" i="26"/>
  <c r="AB30" i="26"/>
  <c r="AB43" i="26" s="1"/>
  <c r="AC17" i="26"/>
  <c r="AC16" i="26"/>
  <c r="AC81" i="26" s="1"/>
  <c r="AC15" i="26"/>
  <c r="AD9" i="26"/>
  <c r="AE7" i="26"/>
  <c r="AD10" i="26"/>
  <c r="AB37" i="26" l="1"/>
  <c r="AB46" i="26" s="1"/>
  <c r="AB48" i="26" s="1"/>
  <c r="AH84" i="29"/>
  <c r="AH87" i="29" s="1"/>
  <c r="AI61" i="29"/>
  <c r="AI78" i="29"/>
  <c r="AI66" i="29"/>
  <c r="AI83" i="29"/>
  <c r="AF94" i="29"/>
  <c r="AH67" i="29"/>
  <c r="AG70" i="29"/>
  <c r="AG74" i="29" s="1"/>
  <c r="AG49" i="29"/>
  <c r="AG53" i="29" s="1"/>
  <c r="AG56" i="29" s="1"/>
  <c r="AG91" i="29"/>
  <c r="AI90" i="29"/>
  <c r="AI73" i="29"/>
  <c r="AH46" i="29"/>
  <c r="AI35" i="29"/>
  <c r="AI23" i="29"/>
  <c r="AI45" i="29"/>
  <c r="AI52" i="29"/>
  <c r="AI40" i="29"/>
  <c r="AH29" i="29"/>
  <c r="AH32" i="29" s="1"/>
  <c r="AH36" i="29" s="1"/>
  <c r="AH16" i="29"/>
  <c r="AH17" i="29"/>
  <c r="AH15" i="29"/>
  <c r="AI28" i="29"/>
  <c r="AI9" i="29"/>
  <c r="AI10" i="29"/>
  <c r="AJ7" i="29"/>
  <c r="AD9" i="28"/>
  <c r="AD10" i="28"/>
  <c r="AE7" i="28"/>
  <c r="AC17" i="28"/>
  <c r="AC16" i="28"/>
  <c r="AC15" i="28"/>
  <c r="AE76" i="26"/>
  <c r="AE71" i="26"/>
  <c r="AD77" i="26"/>
  <c r="AD78" i="26" s="1"/>
  <c r="AD79" i="26" s="1"/>
  <c r="AC84" i="26"/>
  <c r="AC86" i="26" s="1"/>
  <c r="AE24" i="26"/>
  <c r="AE29" i="26"/>
  <c r="AC30" i="26"/>
  <c r="AC43" i="26" s="1"/>
  <c r="AD17" i="26"/>
  <c r="AD16" i="26"/>
  <c r="AD81" i="26" s="1"/>
  <c r="AD15" i="26"/>
  <c r="AF7" i="26"/>
  <c r="AE9" i="26"/>
  <c r="AE10" i="26"/>
  <c r="AC37" i="26" l="1"/>
  <c r="AC46" i="26" s="1"/>
  <c r="AC48" i="26" s="1"/>
  <c r="AI84" i="29"/>
  <c r="AI87" i="29" s="1"/>
  <c r="AJ66" i="29"/>
  <c r="AJ61" i="29"/>
  <c r="AJ78" i="29"/>
  <c r="AJ83" i="29"/>
  <c r="AI67" i="29"/>
  <c r="AH70" i="29"/>
  <c r="AH74" i="29" s="1"/>
  <c r="AG94" i="29"/>
  <c r="AH49" i="29"/>
  <c r="AH53" i="29" s="1"/>
  <c r="AH56" i="29" s="1"/>
  <c r="AJ90" i="29"/>
  <c r="AJ73" i="29"/>
  <c r="AH91" i="29"/>
  <c r="AI46" i="29"/>
  <c r="AJ35" i="29"/>
  <c r="AJ52" i="29"/>
  <c r="AJ40" i="29"/>
  <c r="AJ23" i="29"/>
  <c r="AJ45" i="29"/>
  <c r="AI29" i="29"/>
  <c r="AI32" i="29" s="1"/>
  <c r="AI36" i="29" s="1"/>
  <c r="AJ9" i="29"/>
  <c r="AJ10" i="29"/>
  <c r="AK7" i="29"/>
  <c r="AJ28" i="29"/>
  <c r="AI17" i="29"/>
  <c r="AI16" i="29"/>
  <c r="AI15" i="29"/>
  <c r="AE10" i="28"/>
  <c r="AF7" i="28"/>
  <c r="AE9" i="28"/>
  <c r="AD16" i="28"/>
  <c r="AD15" i="28"/>
  <c r="AD17" i="28"/>
  <c r="AF71" i="26"/>
  <c r="AF76" i="26"/>
  <c r="AE77" i="26"/>
  <c r="AE78" i="26" s="1"/>
  <c r="AE79" i="26" s="1"/>
  <c r="AD84" i="26"/>
  <c r="AD86" i="26" s="1"/>
  <c r="AD30" i="26"/>
  <c r="AD43" i="26" s="1"/>
  <c r="AF24" i="26"/>
  <c r="AF29" i="26"/>
  <c r="AF9" i="26"/>
  <c r="AF10" i="26"/>
  <c r="AG7" i="26"/>
  <c r="AE17" i="26"/>
  <c r="AE16" i="26"/>
  <c r="AE81" i="26" s="1"/>
  <c r="AE15" i="26"/>
  <c r="AD37" i="26" l="1"/>
  <c r="AD46" i="26" s="1"/>
  <c r="AD48" i="26" s="1"/>
  <c r="AJ84" i="29"/>
  <c r="AJ87" i="29" s="1"/>
  <c r="AK83" i="29"/>
  <c r="AK78" i="29"/>
  <c r="AK66" i="29"/>
  <c r="AK61" i="29"/>
  <c r="AH94" i="29"/>
  <c r="AJ67" i="29"/>
  <c r="AI70" i="29"/>
  <c r="AI74" i="29" s="1"/>
  <c r="AI49" i="29"/>
  <c r="AI53" i="29" s="1"/>
  <c r="AI56" i="29" s="1"/>
  <c r="AK73" i="29"/>
  <c r="AK90" i="29"/>
  <c r="AI91" i="29"/>
  <c r="AJ46" i="29"/>
  <c r="AK35" i="29"/>
  <c r="AK52" i="29"/>
  <c r="AK45" i="29"/>
  <c r="AK23" i="29"/>
  <c r="AK40" i="29"/>
  <c r="AJ29" i="29"/>
  <c r="AJ32" i="29" s="1"/>
  <c r="AJ36" i="29" s="1"/>
  <c r="AK9" i="29"/>
  <c r="AK10" i="29"/>
  <c r="AK28" i="29"/>
  <c r="AL7" i="29"/>
  <c r="AJ17" i="29"/>
  <c r="AJ15" i="29"/>
  <c r="AJ16" i="29"/>
  <c r="AE16" i="28"/>
  <c r="AE15" i="28"/>
  <c r="AE17" i="28"/>
  <c r="AG7" i="28"/>
  <c r="AF10" i="28"/>
  <c r="AF9" i="28"/>
  <c r="AF77" i="26"/>
  <c r="AF78" i="26" s="1"/>
  <c r="AF79" i="26" s="1"/>
  <c r="AE84" i="26"/>
  <c r="AE86" i="26" s="1"/>
  <c r="AG71" i="26"/>
  <c r="AG76" i="26"/>
  <c r="AG24" i="26"/>
  <c r="AG29" i="26"/>
  <c r="AE30" i="26"/>
  <c r="AE43" i="26" s="1"/>
  <c r="AG9" i="26"/>
  <c r="AG10" i="26"/>
  <c r="AH7" i="26"/>
  <c r="AF17" i="26"/>
  <c r="AF16" i="26"/>
  <c r="AF81" i="26" s="1"/>
  <c r="AF15" i="26"/>
  <c r="AE37" i="26" l="1"/>
  <c r="AE46" i="26" s="1"/>
  <c r="AE48" i="26" s="1"/>
  <c r="AK84" i="29"/>
  <c r="AK87" i="29" s="1"/>
  <c r="AL78" i="29"/>
  <c r="AL83" i="29"/>
  <c r="AL66" i="29"/>
  <c r="AL61" i="29"/>
  <c r="AI94" i="29"/>
  <c r="AJ49" i="29"/>
  <c r="AJ53" i="29" s="1"/>
  <c r="AJ56" i="29" s="1"/>
  <c r="AK67" i="29"/>
  <c r="AJ70" i="29"/>
  <c r="AJ74" i="29" s="1"/>
  <c r="AL73" i="29"/>
  <c r="AL90" i="29"/>
  <c r="AJ91" i="29"/>
  <c r="AK46" i="29"/>
  <c r="AL35" i="29"/>
  <c r="AL40" i="29"/>
  <c r="AL45" i="29"/>
  <c r="AL23" i="29"/>
  <c r="AL52" i="29"/>
  <c r="AK29" i="29"/>
  <c r="AK32" i="29" s="1"/>
  <c r="AK36" i="29" s="1"/>
  <c r="AK17" i="29"/>
  <c r="AK16" i="29"/>
  <c r="AK15" i="29"/>
  <c r="AL28" i="29"/>
  <c r="AL10" i="29"/>
  <c r="AM7" i="29"/>
  <c r="AL9" i="29"/>
  <c r="AF15" i="28"/>
  <c r="AF17" i="28"/>
  <c r="AF16" i="28"/>
  <c r="AG9" i="28"/>
  <c r="AH7" i="28"/>
  <c r="AG10" i="28"/>
  <c r="AH71" i="26"/>
  <c r="AH76" i="26"/>
  <c r="AG77" i="26"/>
  <c r="AG78" i="26" s="1"/>
  <c r="AG79" i="26" s="1"/>
  <c r="AF84" i="26"/>
  <c r="AF86" i="26" s="1"/>
  <c r="AF30" i="26"/>
  <c r="AF43" i="26" s="1"/>
  <c r="AH24" i="26"/>
  <c r="AH29" i="26"/>
  <c r="AH9" i="26"/>
  <c r="AH10" i="26"/>
  <c r="AI7" i="26"/>
  <c r="AG17" i="26"/>
  <c r="AG16" i="26"/>
  <c r="AG81" i="26" s="1"/>
  <c r="AG15" i="26"/>
  <c r="AF37" i="26" l="1"/>
  <c r="AF46" i="26" s="1"/>
  <c r="AF48" i="26" s="1"/>
  <c r="AL84" i="29"/>
  <c r="AL87" i="29" s="1"/>
  <c r="AM61" i="29"/>
  <c r="AM66" i="29"/>
  <c r="AM83" i="29"/>
  <c r="AM78" i="29"/>
  <c r="AJ94" i="29"/>
  <c r="AL67" i="29"/>
  <c r="AK70" i="29"/>
  <c r="AK74" i="29" s="1"/>
  <c r="AK49" i="29"/>
  <c r="AK53" i="29" s="1"/>
  <c r="AK56" i="29" s="1"/>
  <c r="AK91" i="29"/>
  <c r="AM73" i="29"/>
  <c r="AM90" i="29"/>
  <c r="AL46" i="29"/>
  <c r="AM35" i="29"/>
  <c r="AM45" i="29"/>
  <c r="AM23" i="29"/>
  <c r="AM52" i="29"/>
  <c r="AM40" i="29"/>
  <c r="AL29" i="29"/>
  <c r="AL32" i="29" s="1"/>
  <c r="AL36" i="29" s="1"/>
  <c r="AL16" i="29"/>
  <c r="AL17" i="29"/>
  <c r="AL15" i="29"/>
  <c r="AN7" i="29"/>
  <c r="AM9" i="29"/>
  <c r="AM10" i="29"/>
  <c r="AM28" i="29"/>
  <c r="AH9" i="28"/>
  <c r="AH10" i="28"/>
  <c r="AI7" i="28"/>
  <c r="AG17" i="28"/>
  <c r="AG16" i="28"/>
  <c r="AG15" i="28"/>
  <c r="AI71" i="26"/>
  <c r="AI76" i="26"/>
  <c r="AH77" i="26"/>
  <c r="AH78" i="26" s="1"/>
  <c r="AH79" i="26" s="1"/>
  <c r="AG84" i="26"/>
  <c r="AG86" i="26" s="1"/>
  <c r="AI24" i="26"/>
  <c r="AI29" i="26"/>
  <c r="AG30" i="26"/>
  <c r="AG43" i="26" s="1"/>
  <c r="AH17" i="26"/>
  <c r="AH16" i="26"/>
  <c r="AH81" i="26" s="1"/>
  <c r="AH15" i="26"/>
  <c r="AI10" i="26"/>
  <c r="AI9" i="26"/>
  <c r="AJ7" i="26"/>
  <c r="AG37" i="26" l="1"/>
  <c r="AG46" i="26" s="1"/>
  <c r="AG48" i="26" s="1"/>
  <c r="AM84" i="29"/>
  <c r="AM87" i="29" s="1"/>
  <c r="AN78" i="29"/>
  <c r="AN61" i="29"/>
  <c r="AN66" i="29"/>
  <c r="AN83" i="29"/>
  <c r="AL49" i="29"/>
  <c r="AL53" i="29" s="1"/>
  <c r="AL56" i="29" s="1"/>
  <c r="AM67" i="29"/>
  <c r="AL70" i="29"/>
  <c r="AL74" i="29" s="1"/>
  <c r="AK94" i="29"/>
  <c r="AL91" i="29"/>
  <c r="AN73" i="29"/>
  <c r="AN90" i="29"/>
  <c r="AM46" i="29"/>
  <c r="AN35" i="29"/>
  <c r="AN45" i="29"/>
  <c r="AN23" i="29"/>
  <c r="AN52" i="29"/>
  <c r="AN40" i="29"/>
  <c r="AM29" i="29"/>
  <c r="AM32" i="29" s="1"/>
  <c r="AM36" i="29" s="1"/>
  <c r="AN28" i="29"/>
  <c r="AO7" i="29"/>
  <c r="AN10" i="29"/>
  <c r="AN9" i="29"/>
  <c r="AM15" i="29"/>
  <c r="AM17" i="29"/>
  <c r="AM16" i="29"/>
  <c r="AI10" i="28"/>
  <c r="AJ7" i="28"/>
  <c r="AI9" i="28"/>
  <c r="AH15" i="28"/>
  <c r="AH17" i="28"/>
  <c r="AH16" i="28"/>
  <c r="AI77" i="26"/>
  <c r="AH84" i="26"/>
  <c r="AH86" i="26" s="1"/>
  <c r="AJ76" i="26"/>
  <c r="AJ71" i="26"/>
  <c r="AH30" i="26"/>
  <c r="AH43" i="26" s="1"/>
  <c r="AJ24" i="26"/>
  <c r="AJ29" i="26"/>
  <c r="AI17" i="26"/>
  <c r="AI16" i="26"/>
  <c r="AI15" i="26"/>
  <c r="AK7" i="26"/>
  <c r="AJ9" i="26"/>
  <c r="AJ10" i="26"/>
  <c r="AH37" i="26" l="1"/>
  <c r="AH46" i="26" s="1"/>
  <c r="AH48" i="26" s="1"/>
  <c r="AN84" i="29"/>
  <c r="AN87" i="29" s="1"/>
  <c r="AL94" i="29"/>
  <c r="AO83" i="29"/>
  <c r="AO66" i="29"/>
  <c r="AO78" i="29"/>
  <c r="AO61" i="29"/>
  <c r="AM49" i="29"/>
  <c r="AM53" i="29" s="1"/>
  <c r="AM56" i="29" s="1"/>
  <c r="AN67" i="29"/>
  <c r="AM70" i="29"/>
  <c r="AM74" i="29" s="1"/>
  <c r="AM91" i="29"/>
  <c r="AO90" i="29"/>
  <c r="AO73" i="29"/>
  <c r="AN46" i="29"/>
  <c r="AO35" i="29"/>
  <c r="AO45" i="29"/>
  <c r="AO23" i="29"/>
  <c r="AO52" i="29"/>
  <c r="AO40" i="29"/>
  <c r="AN29" i="29"/>
  <c r="AN32" i="29" s="1"/>
  <c r="AN36" i="29" s="1"/>
  <c r="AP7" i="29"/>
  <c r="AO28" i="29"/>
  <c r="AO9" i="29"/>
  <c r="AO10" i="29"/>
  <c r="AN15" i="29"/>
  <c r="AN16" i="29"/>
  <c r="AN17" i="29"/>
  <c r="AI17" i="28"/>
  <c r="AI16" i="28"/>
  <c r="AI15" i="28"/>
  <c r="AJ10" i="28"/>
  <c r="AJ9" i="28"/>
  <c r="AK7" i="28"/>
  <c r="AK71" i="26"/>
  <c r="AK76" i="26"/>
  <c r="AJ77" i="26"/>
  <c r="AI84" i="26"/>
  <c r="AI86" i="26" s="1"/>
  <c r="AK24" i="26"/>
  <c r="AK29" i="26"/>
  <c r="AI30" i="26"/>
  <c r="AI43" i="26" s="1"/>
  <c r="AJ17" i="26"/>
  <c r="AJ16" i="26"/>
  <c r="AJ15" i="26"/>
  <c r="AL7" i="26"/>
  <c r="AK10" i="26"/>
  <c r="AK9" i="26"/>
  <c r="AI37" i="26" l="1"/>
  <c r="AI46" i="26" s="1"/>
  <c r="AI48" i="26" s="1"/>
  <c r="AO84" i="29"/>
  <c r="AO87" i="29" s="1"/>
  <c r="AP66" i="29"/>
  <c r="AP61" i="29"/>
  <c r="AP83" i="29"/>
  <c r="AP78" i="29"/>
  <c r="AO67" i="29"/>
  <c r="AN70" i="29"/>
  <c r="AN74" i="29" s="1"/>
  <c r="AN49" i="29"/>
  <c r="AN53" i="29" s="1"/>
  <c r="AN56" i="29" s="1"/>
  <c r="AM94" i="29"/>
  <c r="AP90" i="29"/>
  <c r="AP73" i="29"/>
  <c r="AN91" i="29"/>
  <c r="AO46" i="29"/>
  <c r="AP35" i="29"/>
  <c r="AP45" i="29"/>
  <c r="AP23" i="29"/>
  <c r="AP52" i="29"/>
  <c r="AP40" i="29"/>
  <c r="AO29" i="29"/>
  <c r="AO32" i="29" s="1"/>
  <c r="AO36" i="29" s="1"/>
  <c r="AO15" i="29"/>
  <c r="AO16" i="29"/>
  <c r="AO17" i="29"/>
  <c r="AQ7" i="29"/>
  <c r="AP28" i="29"/>
  <c r="AP9" i="29"/>
  <c r="AP10" i="29"/>
  <c r="AK10" i="28"/>
  <c r="AK9" i="28"/>
  <c r="AL7" i="28"/>
  <c r="AJ17" i="28"/>
  <c r="AJ16" i="28"/>
  <c r="AJ15" i="28"/>
  <c r="AK77" i="26"/>
  <c r="AJ84" i="26"/>
  <c r="AJ86" i="26" s="1"/>
  <c r="AL71" i="26"/>
  <c r="AL76" i="26"/>
  <c r="AL24" i="26"/>
  <c r="AL29" i="26"/>
  <c r="AJ30" i="26"/>
  <c r="AJ43" i="26" s="1"/>
  <c r="AK17" i="26"/>
  <c r="AK16" i="26"/>
  <c r="AK15" i="26"/>
  <c r="AL10" i="26"/>
  <c r="AM7" i="26"/>
  <c r="AL9" i="26"/>
  <c r="AJ37" i="26" l="1"/>
  <c r="AJ46" i="26" s="1"/>
  <c r="AJ48" i="26" s="1"/>
  <c r="AP84" i="29"/>
  <c r="AP87" i="29" s="1"/>
  <c r="AQ61" i="29"/>
  <c r="AQ83" i="29"/>
  <c r="AQ78" i="29"/>
  <c r="AQ66" i="29"/>
  <c r="AN94" i="29"/>
  <c r="AO49" i="29"/>
  <c r="AO53" i="29" s="1"/>
  <c r="AO56" i="29" s="1"/>
  <c r="AP46" i="29"/>
  <c r="AP49" i="29" s="1"/>
  <c r="AP53" i="29" s="1"/>
  <c r="AP67" i="29"/>
  <c r="AO70" i="29"/>
  <c r="AO74" i="29" s="1"/>
  <c r="AO91" i="29"/>
  <c r="AQ90" i="29"/>
  <c r="AQ73" i="29"/>
  <c r="AQ35" i="29"/>
  <c r="AQ23" i="29"/>
  <c r="AQ52" i="29"/>
  <c r="AQ40" i="29"/>
  <c r="AQ45" i="29"/>
  <c r="AP29" i="29"/>
  <c r="AP32" i="29" s="1"/>
  <c r="AP36" i="29" s="1"/>
  <c r="AQ9" i="29"/>
  <c r="AQ28" i="29"/>
  <c r="AQ10" i="29"/>
  <c r="AR7" i="29"/>
  <c r="AP15" i="29"/>
  <c r="AP16" i="29"/>
  <c r="AP17" i="29"/>
  <c r="AL9" i="28"/>
  <c r="AL10" i="28"/>
  <c r="AM7" i="28"/>
  <c r="AK17" i="28"/>
  <c r="AK16" i="28"/>
  <c r="AK15" i="28"/>
  <c r="AM71" i="26"/>
  <c r="AM76" i="26"/>
  <c r="AL77" i="26"/>
  <c r="AK84" i="26"/>
  <c r="AK86" i="26" s="1"/>
  <c r="AM24" i="26"/>
  <c r="AM29" i="26"/>
  <c r="AK30" i="26"/>
  <c r="AK43" i="26" s="1"/>
  <c r="AN7" i="26"/>
  <c r="AM9" i="26"/>
  <c r="AM10" i="26"/>
  <c r="AL17" i="26"/>
  <c r="AL16" i="26"/>
  <c r="AL15" i="26"/>
  <c r="AK37" i="26" l="1"/>
  <c r="AK46" i="26" s="1"/>
  <c r="AK48" i="26" s="1"/>
  <c r="AQ84" i="29"/>
  <c r="AQ87" i="29" s="1"/>
  <c r="AR66" i="29"/>
  <c r="AR78" i="29"/>
  <c r="AR61" i="29"/>
  <c r="AR83" i="29"/>
  <c r="AO94" i="29"/>
  <c r="AQ67" i="29"/>
  <c r="AP70" i="29"/>
  <c r="AP74" i="29" s="1"/>
  <c r="AP91" i="29"/>
  <c r="AR73" i="29"/>
  <c r="AR90" i="29"/>
  <c r="AP56" i="29"/>
  <c r="AQ46" i="29"/>
  <c r="AR35" i="29"/>
  <c r="AR52" i="29"/>
  <c r="AR40" i="29"/>
  <c r="AR23" i="29"/>
  <c r="AR45" i="29"/>
  <c r="AQ29" i="29"/>
  <c r="AQ32" i="29" s="1"/>
  <c r="AQ36" i="29" s="1"/>
  <c r="AR28" i="29"/>
  <c r="AR9" i="29"/>
  <c r="AR10" i="29"/>
  <c r="AQ17" i="29"/>
  <c r="AQ16" i="29"/>
  <c r="AQ15" i="29"/>
  <c r="AM10" i="28"/>
  <c r="AM9" i="28"/>
  <c r="AN7" i="28"/>
  <c r="AL17" i="28"/>
  <c r="AL15" i="28"/>
  <c r="AL16" i="28"/>
  <c r="AM77" i="26"/>
  <c r="AL84" i="26"/>
  <c r="AL86" i="26" s="1"/>
  <c r="AN76" i="26"/>
  <c r="AN71" i="26"/>
  <c r="AN24" i="26"/>
  <c r="AN29" i="26"/>
  <c r="AL30" i="26"/>
  <c r="AL43" i="26" s="1"/>
  <c r="AN9" i="26"/>
  <c r="AN10" i="26"/>
  <c r="AO7" i="26"/>
  <c r="AM17" i="26"/>
  <c r="AM16" i="26"/>
  <c r="AM15" i="26"/>
  <c r="AL37" i="26" l="1"/>
  <c r="AL46" i="26" s="1"/>
  <c r="AL48" i="26" s="1"/>
  <c r="AR84" i="29"/>
  <c r="AR87" i="29" s="1"/>
  <c r="AQ49" i="29"/>
  <c r="AQ53" i="29" s="1"/>
  <c r="AQ56" i="29" s="1"/>
  <c r="AR67" i="29"/>
  <c r="AR70" i="29" s="1"/>
  <c r="AQ70" i="29"/>
  <c r="AQ74" i="29" s="1"/>
  <c r="AP94" i="29"/>
  <c r="AQ91" i="29"/>
  <c r="AR46" i="29"/>
  <c r="AR49" i="29" s="1"/>
  <c r="AR29" i="29"/>
  <c r="AR32" i="29" s="1"/>
  <c r="AR36" i="29" s="1"/>
  <c r="AR15" i="29"/>
  <c r="AR16" i="29"/>
  <c r="AR17" i="29"/>
  <c r="AM17" i="28"/>
  <c r="AM16" i="28"/>
  <c r="AM15" i="28"/>
  <c r="AO7" i="28"/>
  <c r="AN9" i="28"/>
  <c r="AN10" i="28"/>
  <c r="AO71" i="26"/>
  <c r="AO76" i="26"/>
  <c r="AN77" i="26"/>
  <c r="AM84" i="26"/>
  <c r="AM86" i="26" s="1"/>
  <c r="AO24" i="26"/>
  <c r="AO29" i="26"/>
  <c r="AM30" i="26"/>
  <c r="AM43" i="26" s="1"/>
  <c r="AN17" i="26"/>
  <c r="AN16" i="26"/>
  <c r="AN15" i="26"/>
  <c r="AO9" i="26"/>
  <c r="AO10" i="26"/>
  <c r="AP7" i="26"/>
  <c r="AM37" i="26" l="1"/>
  <c r="AM46" i="26" s="1"/>
  <c r="AM48" i="26" s="1"/>
  <c r="AQ94" i="29"/>
  <c r="D67" i="29"/>
  <c r="AR74" i="29"/>
  <c r="D74" i="29" s="1"/>
  <c r="D70" i="29"/>
  <c r="D46" i="29"/>
  <c r="D84" i="29"/>
  <c r="AR53" i="29"/>
  <c r="D53" i="29" s="1"/>
  <c r="D49" i="29"/>
  <c r="D36" i="29"/>
  <c r="D29" i="29"/>
  <c r="D32" i="29"/>
  <c r="AO9" i="28"/>
  <c r="AP7" i="28"/>
  <c r="AO10" i="28"/>
  <c r="AN17" i="28"/>
  <c r="AN16" i="28"/>
  <c r="AN15" i="28"/>
  <c r="AO77" i="26"/>
  <c r="AN84" i="26"/>
  <c r="AN86" i="26" s="1"/>
  <c r="AP76" i="26"/>
  <c r="AP71" i="26"/>
  <c r="AP24" i="26"/>
  <c r="AP29" i="26"/>
  <c r="AN30" i="26"/>
  <c r="AN43" i="26" s="1"/>
  <c r="AO17" i="26"/>
  <c r="AO16" i="26"/>
  <c r="AO15" i="26"/>
  <c r="AP9" i="26"/>
  <c r="AP10" i="26"/>
  <c r="AQ7" i="26"/>
  <c r="AN37" i="26" l="1"/>
  <c r="AN46" i="26" s="1"/>
  <c r="AN48" i="26" s="1"/>
  <c r="AR91" i="29"/>
  <c r="D87" i="29"/>
  <c r="AR56" i="29"/>
  <c r="AO17" i="28"/>
  <c r="AO16" i="28"/>
  <c r="AO15" i="28"/>
  <c r="AP9" i="28"/>
  <c r="AP10" i="28"/>
  <c r="AQ7" i="28"/>
  <c r="AQ71" i="26"/>
  <c r="AQ76" i="26"/>
  <c r="AP77" i="26"/>
  <c r="AO84" i="26"/>
  <c r="AO86" i="26" s="1"/>
  <c r="AQ24" i="26"/>
  <c r="AQ29" i="26"/>
  <c r="AO30" i="26"/>
  <c r="AO43" i="26" s="1"/>
  <c r="AP17" i="26"/>
  <c r="AP16" i="26"/>
  <c r="AP15" i="26"/>
  <c r="AQ10" i="26"/>
  <c r="AR7" i="26"/>
  <c r="AQ9" i="26"/>
  <c r="AO37" i="26" l="1"/>
  <c r="AO46" i="26" s="1"/>
  <c r="AO48" i="26" s="1"/>
  <c r="D91" i="29"/>
  <c r="AR94" i="29"/>
  <c r="D94" i="29" s="1"/>
  <c r="AP16" i="28"/>
  <c r="AP15" i="28"/>
  <c r="AP17" i="28"/>
  <c r="AQ10" i="28"/>
  <c r="AR7" i="28"/>
  <c r="AQ9" i="28"/>
  <c r="AR76" i="26"/>
  <c r="AR71" i="26"/>
  <c r="AQ77" i="26"/>
  <c r="AP84" i="26"/>
  <c r="AP86" i="26" s="1"/>
  <c r="AP30" i="26"/>
  <c r="AP43" i="26" s="1"/>
  <c r="AR24" i="26"/>
  <c r="AR29" i="26"/>
  <c r="AR9" i="26"/>
  <c r="AR10" i="26"/>
  <c r="AQ17" i="26"/>
  <c r="AQ16" i="26"/>
  <c r="AQ15" i="26"/>
  <c r="AP37" i="26" l="1"/>
  <c r="AP46" i="26" s="1"/>
  <c r="AP48" i="26" s="1"/>
  <c r="AR10" i="28"/>
  <c r="AR9" i="28"/>
  <c r="AQ16" i="28"/>
  <c r="AQ15" i="28"/>
  <c r="AQ17" i="28"/>
  <c r="AR77" i="26"/>
  <c r="AQ84" i="26"/>
  <c r="AQ86" i="26" s="1"/>
  <c r="AQ30" i="26"/>
  <c r="AQ43" i="26" s="1"/>
  <c r="AR17" i="26"/>
  <c r="AR15" i="26"/>
  <c r="AR16" i="26"/>
  <c r="AR84" i="26" l="1"/>
  <c r="AR86" i="26" s="1"/>
  <c r="D86" i="26" s="1"/>
  <c r="D77" i="26"/>
  <c r="AQ37" i="26"/>
  <c r="AQ46" i="26" s="1"/>
  <c r="AQ48" i="26" s="1"/>
  <c r="AR17" i="28"/>
  <c r="AR16" i="28"/>
  <c r="AR15" i="28"/>
  <c r="D84" i="26"/>
  <c r="AR30" i="26"/>
  <c r="AR37" i="26" l="1"/>
  <c r="D37" i="26" s="1"/>
  <c r="AR43" i="26"/>
  <c r="D43" i="26" s="1"/>
  <c r="D30" i="26"/>
  <c r="AR46" i="26" l="1"/>
  <c r="AR48" i="26" s="1"/>
  <c r="D48" i="26" s="1"/>
  <c r="D46" i="26" l="1"/>
  <c r="B54" i="24"/>
  <c r="D54" i="24"/>
  <c r="B52" i="24"/>
  <c r="B22" i="24"/>
  <c r="C6" i="25"/>
  <c r="D10" i="25" s="1"/>
  <c r="D17" i="24"/>
  <c r="D16" i="24"/>
  <c r="D15" i="24"/>
  <c r="F8" i="24"/>
  <c r="G8" i="24" s="1"/>
  <c r="H8" i="24" s="1"/>
  <c r="I8" i="24" s="1"/>
  <c r="J8" i="24" s="1"/>
  <c r="K8" i="24" s="1"/>
  <c r="L8" i="24" s="1"/>
  <c r="M8" i="24" s="1"/>
  <c r="N8" i="24" s="1"/>
  <c r="O8" i="24" s="1"/>
  <c r="P8" i="24" s="1"/>
  <c r="Q8" i="24" s="1"/>
  <c r="R8" i="24" s="1"/>
  <c r="S8" i="24" s="1"/>
  <c r="T8" i="24" s="1"/>
  <c r="U8" i="24" s="1"/>
  <c r="V8" i="24" s="1"/>
  <c r="W8" i="24" s="1"/>
  <c r="X8" i="24" s="1"/>
  <c r="Y8" i="24" s="1"/>
  <c r="Z8" i="24" s="1"/>
  <c r="AA8" i="24" s="1"/>
  <c r="AB8" i="24" s="1"/>
  <c r="AC8" i="24" s="1"/>
  <c r="AD8" i="24" s="1"/>
  <c r="AE8" i="24" s="1"/>
  <c r="AF8" i="24" s="1"/>
  <c r="AG8" i="24" s="1"/>
  <c r="AH8" i="24" s="1"/>
  <c r="AI8" i="24" s="1"/>
  <c r="AJ8" i="24" s="1"/>
  <c r="AK8" i="24" s="1"/>
  <c r="AL8" i="24" s="1"/>
  <c r="AM8" i="24" s="1"/>
  <c r="AN8" i="24" s="1"/>
  <c r="AO8" i="24" s="1"/>
  <c r="AP8" i="24" s="1"/>
  <c r="AQ8" i="24" s="1"/>
  <c r="AR8" i="24" s="1"/>
  <c r="F7" i="24"/>
  <c r="F27" i="24" s="1"/>
  <c r="A4" i="24"/>
  <c r="A1" i="24"/>
  <c r="F9" i="24" l="1"/>
  <c r="F25" i="24"/>
  <c r="F26" i="24"/>
  <c r="D11" i="25"/>
  <c r="D9" i="25"/>
  <c r="G7" i="24"/>
  <c r="G27" i="24" s="1"/>
  <c r="G25" i="24" l="1"/>
  <c r="G26" i="24"/>
  <c r="G9" i="24"/>
  <c r="H7" i="24"/>
  <c r="H27" i="24" s="1"/>
  <c r="H25" i="24" l="1"/>
  <c r="H26" i="24"/>
  <c r="I7" i="24"/>
  <c r="H9" i="24"/>
  <c r="H10" i="24" l="1"/>
  <c r="H17" i="24" s="1"/>
  <c r="I10" i="24"/>
  <c r="J7" i="24"/>
  <c r="J27" i="24" s="1"/>
  <c r="I9" i="24"/>
  <c r="F10" i="24"/>
  <c r="G10" i="24"/>
  <c r="J25" i="24" l="1"/>
  <c r="J26" i="24"/>
  <c r="H15" i="24"/>
  <c r="H16" i="24"/>
  <c r="F17" i="24"/>
  <c r="F16" i="24"/>
  <c r="F15" i="24"/>
  <c r="I17" i="24"/>
  <c r="I16" i="24"/>
  <c r="I15" i="24"/>
  <c r="G17" i="24"/>
  <c r="G16" i="24"/>
  <c r="G15" i="24"/>
  <c r="K7" i="24"/>
  <c r="K27" i="24" s="1"/>
  <c r="J10" i="24"/>
  <c r="J9" i="24"/>
  <c r="K26" i="24" l="1"/>
  <c r="K25" i="24"/>
  <c r="J17" i="24"/>
  <c r="J16" i="24"/>
  <c r="J15" i="24"/>
  <c r="K9" i="24"/>
  <c r="K10" i="24"/>
  <c r="L7" i="24"/>
  <c r="L27" i="24" s="1"/>
  <c r="L25" i="24" l="1"/>
  <c r="L26" i="24"/>
  <c r="L10" i="24"/>
  <c r="L9" i="24"/>
  <c r="M7" i="24"/>
  <c r="M27" i="24" s="1"/>
  <c r="K17" i="24"/>
  <c r="K16" i="24"/>
  <c r="K15" i="24"/>
  <c r="M26" i="24" l="1"/>
  <c r="M25" i="24"/>
  <c r="M10" i="24"/>
  <c r="M9" i="24"/>
  <c r="N7" i="24"/>
  <c r="N27" i="24" s="1"/>
  <c r="L16" i="24"/>
  <c r="L17" i="24"/>
  <c r="L15" i="24"/>
  <c r="N26" i="24" l="1"/>
  <c r="N25" i="24"/>
  <c r="N9" i="24"/>
  <c r="N10" i="24"/>
  <c r="O7" i="24"/>
  <c r="O27" i="24" s="1"/>
  <c r="M17" i="24"/>
  <c r="M16" i="24"/>
  <c r="M15" i="24"/>
  <c r="O25" i="24" l="1"/>
  <c r="O26" i="24"/>
  <c r="O10" i="24"/>
  <c r="O9" i="24"/>
  <c r="P7" i="24"/>
  <c r="P27" i="24" s="1"/>
  <c r="N17" i="24"/>
  <c r="N16" i="24"/>
  <c r="N15" i="24"/>
  <c r="P26" i="24" l="1"/>
  <c r="P25" i="24"/>
  <c r="P10" i="24"/>
  <c r="P9" i="24"/>
  <c r="Q7" i="24"/>
  <c r="Q27" i="24" s="1"/>
  <c r="O17" i="24"/>
  <c r="O16" i="24"/>
  <c r="O15" i="24"/>
  <c r="Q25" i="24" l="1"/>
  <c r="Q26" i="24"/>
  <c r="Q10" i="24"/>
  <c r="R7" i="24"/>
  <c r="R27" i="24" s="1"/>
  <c r="Q9" i="24"/>
  <c r="P17" i="24"/>
  <c r="P16" i="24"/>
  <c r="P15" i="24"/>
  <c r="R26" i="24" l="1"/>
  <c r="R25" i="24"/>
  <c r="S7" i="24"/>
  <c r="S27" i="24" s="1"/>
  <c r="R9" i="24"/>
  <c r="R10" i="24"/>
  <c r="Q17" i="24"/>
  <c r="Q16" i="24"/>
  <c r="Q15" i="24"/>
  <c r="S26" i="24" l="1"/>
  <c r="S25" i="24"/>
  <c r="S9" i="24"/>
  <c r="S10" i="24"/>
  <c r="T7" i="24"/>
  <c r="T27" i="24" s="1"/>
  <c r="R16" i="24"/>
  <c r="R17" i="24"/>
  <c r="R15" i="24"/>
  <c r="T25" i="24" l="1"/>
  <c r="T26" i="24"/>
  <c r="S17" i="24"/>
  <c r="S16" i="24"/>
  <c r="S15" i="24"/>
  <c r="T9" i="24"/>
  <c r="T10" i="24"/>
  <c r="U7" i="24"/>
  <c r="U27" i="24" s="1"/>
  <c r="U25" i="24" l="1"/>
  <c r="U26" i="24"/>
  <c r="T16" i="24"/>
  <c r="T17" i="24"/>
  <c r="T15" i="24"/>
  <c r="U9" i="24"/>
  <c r="U10" i="24"/>
  <c r="V7" i="24"/>
  <c r="V27" i="24" s="1"/>
  <c r="V25" i="24" l="1"/>
  <c r="V26" i="24"/>
  <c r="V9" i="24"/>
  <c r="V10" i="24"/>
  <c r="W7" i="24"/>
  <c r="W27" i="24" s="1"/>
  <c r="U16" i="24"/>
  <c r="U17" i="24"/>
  <c r="U15" i="24"/>
  <c r="W25" i="24" l="1"/>
  <c r="W26" i="24"/>
  <c r="W10" i="24"/>
  <c r="X7" i="24"/>
  <c r="X27" i="24" s="1"/>
  <c r="W9" i="24"/>
  <c r="V17" i="24"/>
  <c r="V16" i="24"/>
  <c r="V15" i="24"/>
  <c r="X25" i="24" l="1"/>
  <c r="X26" i="24"/>
  <c r="X9" i="24"/>
  <c r="Y7" i="24"/>
  <c r="Y27" i="24" s="1"/>
  <c r="X10" i="24"/>
  <c r="W17" i="24"/>
  <c r="W16" i="24"/>
  <c r="W15" i="24"/>
  <c r="Y25" i="24" l="1"/>
  <c r="Y26" i="24"/>
  <c r="Y10" i="24"/>
  <c r="Z7" i="24"/>
  <c r="Z27" i="24" s="1"/>
  <c r="Y9" i="24"/>
  <c r="X17" i="24"/>
  <c r="X16" i="24"/>
  <c r="X15" i="24"/>
  <c r="Z26" i="24" l="1"/>
  <c r="Z25" i="24"/>
  <c r="AA7" i="24"/>
  <c r="AA27" i="24" s="1"/>
  <c r="Z9" i="24"/>
  <c r="Z10" i="24"/>
  <c r="Y17" i="24"/>
  <c r="Y16" i="24"/>
  <c r="Y15" i="24"/>
  <c r="AA26" i="24" l="1"/>
  <c r="AA25" i="24"/>
  <c r="Z16" i="24"/>
  <c r="Z17" i="24"/>
  <c r="Z15" i="24"/>
  <c r="AA9" i="24"/>
  <c r="AA10" i="24"/>
  <c r="AB7" i="24"/>
  <c r="AB27" i="24" s="1"/>
  <c r="AB25" i="24" l="1"/>
  <c r="AB26" i="24"/>
  <c r="AB9" i="24"/>
  <c r="AB10" i="24"/>
  <c r="AC7" i="24"/>
  <c r="AC27" i="24" s="1"/>
  <c r="AA17" i="24"/>
  <c r="AA16" i="24"/>
  <c r="AA15" i="24"/>
  <c r="AC25" i="24" l="1"/>
  <c r="AC26" i="24"/>
  <c r="AC9" i="24"/>
  <c r="AC10" i="24"/>
  <c r="AD7" i="24"/>
  <c r="AD27" i="24" s="1"/>
  <c r="AB16" i="24"/>
  <c r="AB17" i="24"/>
  <c r="AB15" i="24"/>
  <c r="AD26" i="24" l="1"/>
  <c r="AD25" i="24"/>
  <c r="AD9" i="24"/>
  <c r="AD10" i="24"/>
  <c r="AE7" i="24"/>
  <c r="AE27" i="24" s="1"/>
  <c r="AC17" i="24"/>
  <c r="AC16" i="24"/>
  <c r="AC15" i="24"/>
  <c r="AE25" i="24" l="1"/>
  <c r="AE26" i="24"/>
  <c r="AE10" i="24"/>
  <c r="AE9" i="24"/>
  <c r="AF7" i="24"/>
  <c r="AF27" i="24" s="1"/>
  <c r="AD17" i="24"/>
  <c r="AD16" i="24"/>
  <c r="AD15" i="24"/>
  <c r="AF26" i="24" l="1"/>
  <c r="AF25" i="24"/>
  <c r="AE17" i="24"/>
  <c r="AE16" i="24"/>
  <c r="AE15" i="24"/>
  <c r="AF9" i="24"/>
  <c r="AF10" i="24"/>
  <c r="AG7" i="24"/>
  <c r="AG27" i="24" s="1"/>
  <c r="AG26" i="24" l="1"/>
  <c r="AG25" i="24"/>
  <c r="AG10" i="24"/>
  <c r="AG9" i="24"/>
  <c r="AH7" i="24"/>
  <c r="AH27" i="24" s="1"/>
  <c r="AF17" i="24"/>
  <c r="AF16" i="24"/>
  <c r="AF15" i="24"/>
  <c r="AH25" i="24" l="1"/>
  <c r="AH26" i="24"/>
  <c r="AI7" i="24"/>
  <c r="AI27" i="24" s="1"/>
  <c r="AH10" i="24"/>
  <c r="AH9" i="24"/>
  <c r="AG17" i="24"/>
  <c r="AG16" i="24"/>
  <c r="AG15" i="24"/>
  <c r="AI26" i="24" l="1"/>
  <c r="AI25" i="24"/>
  <c r="AH16" i="24"/>
  <c r="AH17" i="24"/>
  <c r="AH15" i="24"/>
  <c r="AI9" i="24"/>
  <c r="AI10" i="24"/>
  <c r="AJ7" i="24"/>
  <c r="AJ27" i="24" s="1"/>
  <c r="AJ25" i="24" l="1"/>
  <c r="AJ26" i="24"/>
  <c r="AI17" i="24"/>
  <c r="AI16" i="24"/>
  <c r="AI15" i="24"/>
  <c r="AJ9" i="24"/>
  <c r="AJ10" i="24"/>
  <c r="AK7" i="24"/>
  <c r="AK27" i="24" s="1"/>
  <c r="AK26" i="24" l="1"/>
  <c r="AK25" i="24"/>
  <c r="AJ16" i="24"/>
  <c r="AJ17" i="24"/>
  <c r="AJ15" i="24"/>
  <c r="AK9" i="24"/>
  <c r="AK10" i="24"/>
  <c r="AL7" i="24"/>
  <c r="AL27" i="24" s="1"/>
  <c r="AL25" i="24" l="1"/>
  <c r="AL26" i="24"/>
  <c r="AL9" i="24"/>
  <c r="AL10" i="24"/>
  <c r="AM7" i="24"/>
  <c r="AM27" i="24" s="1"/>
  <c r="AK16" i="24"/>
  <c r="AK17" i="24"/>
  <c r="AK15" i="24"/>
  <c r="AM25" i="24" l="1"/>
  <c r="AM26" i="24"/>
  <c r="AM10" i="24"/>
  <c r="AN7" i="24"/>
  <c r="AN27" i="24" s="1"/>
  <c r="AM9" i="24"/>
  <c r="AL17" i="24"/>
  <c r="AL16" i="24"/>
  <c r="AL15" i="24"/>
  <c r="AN25" i="24" l="1"/>
  <c r="AN26" i="24"/>
  <c r="AM17" i="24"/>
  <c r="AM16" i="24"/>
  <c r="AM15" i="24"/>
  <c r="AN9" i="24"/>
  <c r="AN10" i="24"/>
  <c r="AO7" i="24"/>
  <c r="AO27" i="24" s="1"/>
  <c r="AO25" i="24" l="1"/>
  <c r="AO26" i="24"/>
  <c r="AO10" i="24"/>
  <c r="AP7" i="24"/>
  <c r="AP27" i="24" s="1"/>
  <c r="AO9" i="24"/>
  <c r="AN17" i="24"/>
  <c r="AN16" i="24"/>
  <c r="AN15" i="24"/>
  <c r="AP25" i="24" l="1"/>
  <c r="AP26" i="24"/>
  <c r="AQ7" i="24"/>
  <c r="AQ27" i="24" s="1"/>
  <c r="AP9" i="24"/>
  <c r="AP10" i="24"/>
  <c r="AO17" i="24"/>
  <c r="AO16" i="24"/>
  <c r="AO15" i="24"/>
  <c r="AQ26" i="24" l="1"/>
  <c r="AQ25" i="24"/>
  <c r="AQ9" i="24"/>
  <c r="AQ10" i="24"/>
  <c r="AR7" i="24"/>
  <c r="AR27" i="24" s="1"/>
  <c r="AP16" i="24"/>
  <c r="AP17" i="24"/>
  <c r="AP15" i="24"/>
  <c r="AR25" i="24" l="1"/>
  <c r="AR26" i="24"/>
  <c r="AQ17" i="24"/>
  <c r="AQ16" i="24"/>
  <c r="AQ15" i="24"/>
  <c r="AR9" i="24"/>
  <c r="AR10" i="24"/>
  <c r="AR16" i="24" l="1"/>
  <c r="AR17" i="24"/>
  <c r="AR15" i="24"/>
  <c r="D35" i="23" l="1"/>
  <c r="D34" i="23"/>
  <c r="F8" i="23" l="1"/>
  <c r="G8" i="23" s="1"/>
  <c r="H8" i="23" s="1"/>
  <c r="I8" i="23" s="1"/>
  <c r="J8" i="23" s="1"/>
  <c r="K8" i="23" s="1"/>
  <c r="L8" i="23" s="1"/>
  <c r="M8" i="23" s="1"/>
  <c r="N8" i="23" s="1"/>
  <c r="O8" i="23" s="1"/>
  <c r="P8" i="23" s="1"/>
  <c r="Q8" i="23" s="1"/>
  <c r="R8" i="23" s="1"/>
  <c r="S8" i="23" s="1"/>
  <c r="T8" i="23" s="1"/>
  <c r="U8" i="23" s="1"/>
  <c r="V8" i="23" s="1"/>
  <c r="W8" i="23" s="1"/>
  <c r="X8" i="23" s="1"/>
  <c r="Y8" i="23" s="1"/>
  <c r="Z8" i="23" s="1"/>
  <c r="AA8" i="23" s="1"/>
  <c r="AB8" i="23" s="1"/>
  <c r="AC8" i="23" s="1"/>
  <c r="AD8" i="23" s="1"/>
  <c r="AE8" i="23" s="1"/>
  <c r="AF8" i="23" s="1"/>
  <c r="AG8" i="23" s="1"/>
  <c r="AH8" i="23" s="1"/>
  <c r="AI8" i="23" s="1"/>
  <c r="AJ8" i="23" s="1"/>
  <c r="AK8" i="23" s="1"/>
  <c r="AL8" i="23" s="1"/>
  <c r="AM8" i="23" s="1"/>
  <c r="AN8" i="23" s="1"/>
  <c r="AO8" i="23" s="1"/>
  <c r="AP8" i="23" s="1"/>
  <c r="AQ8" i="23" s="1"/>
  <c r="AR8" i="23" s="1"/>
  <c r="F7" i="23"/>
  <c r="A4" i="23"/>
  <c r="A1" i="23"/>
  <c r="D32" i="22"/>
  <c r="F39" i="2"/>
  <c r="F58" i="2" s="1"/>
  <c r="D25" i="21"/>
  <c r="D24" i="21"/>
  <c r="D23" i="21"/>
  <c r="D22" i="21"/>
  <c r="D113" i="20"/>
  <c r="D21" i="23" s="1"/>
  <c r="D71" i="20"/>
  <c r="E49" i="1" s="1"/>
  <c r="D19" i="23" s="1"/>
  <c r="D17" i="22"/>
  <c r="D16" i="22"/>
  <c r="D15" i="22"/>
  <c r="F8" i="22"/>
  <c r="G8" i="22" s="1"/>
  <c r="H8" i="22" s="1"/>
  <c r="I8" i="22" s="1"/>
  <c r="J8" i="22" s="1"/>
  <c r="K8" i="22" s="1"/>
  <c r="L8" i="22" s="1"/>
  <c r="M8" i="22" s="1"/>
  <c r="N8" i="22" s="1"/>
  <c r="O8" i="22" s="1"/>
  <c r="P8" i="22" s="1"/>
  <c r="Q8" i="22" s="1"/>
  <c r="R8" i="22" s="1"/>
  <c r="S8" i="22" s="1"/>
  <c r="T8" i="22" s="1"/>
  <c r="U8" i="22" s="1"/>
  <c r="V8" i="22" s="1"/>
  <c r="W8" i="22" s="1"/>
  <c r="X8" i="22" s="1"/>
  <c r="Y8" i="22" s="1"/>
  <c r="Z8" i="22" s="1"/>
  <c r="AA8" i="22" s="1"/>
  <c r="AB8" i="22" s="1"/>
  <c r="AC8" i="22" s="1"/>
  <c r="AD8" i="22" s="1"/>
  <c r="AE8" i="22" s="1"/>
  <c r="AF8" i="22" s="1"/>
  <c r="AG8" i="22" s="1"/>
  <c r="AH8" i="22" s="1"/>
  <c r="AI8" i="22" s="1"/>
  <c r="AJ8" i="22" s="1"/>
  <c r="AK8" i="22" s="1"/>
  <c r="AL8" i="22" s="1"/>
  <c r="AM8" i="22" s="1"/>
  <c r="AN8" i="22" s="1"/>
  <c r="AO8" i="22" s="1"/>
  <c r="AP8" i="22" s="1"/>
  <c r="AQ8" i="22" s="1"/>
  <c r="AR8" i="22" s="1"/>
  <c r="F7" i="22"/>
  <c r="F9" i="22" s="1"/>
  <c r="A4" i="22"/>
  <c r="A1" i="22"/>
  <c r="D22" i="23" l="1"/>
  <c r="F68" i="2"/>
  <c r="F77" i="2"/>
  <c r="F87" i="2" s="1"/>
  <c r="G39" i="2"/>
  <c r="G58" i="2" s="1"/>
  <c r="F49" i="2"/>
  <c r="F34" i="23"/>
  <c r="D36" i="23"/>
  <c r="D37" i="23" s="1"/>
  <c r="F19" i="23"/>
  <c r="D23" i="23"/>
  <c r="F21" i="23"/>
  <c r="F9" i="23"/>
  <c r="G7" i="23"/>
  <c r="G7" i="22"/>
  <c r="D26" i="21"/>
  <c r="D17" i="21"/>
  <c r="D16" i="21"/>
  <c r="D15" i="21"/>
  <c r="F8" i="21"/>
  <c r="G8" i="21" s="1"/>
  <c r="H8" i="21" s="1"/>
  <c r="I8" i="21" s="1"/>
  <c r="J8" i="21" s="1"/>
  <c r="K8" i="21" s="1"/>
  <c r="L8" i="21" s="1"/>
  <c r="M8" i="21" s="1"/>
  <c r="N8" i="21" s="1"/>
  <c r="O8" i="21" s="1"/>
  <c r="P8" i="21" s="1"/>
  <c r="Q8" i="21" s="1"/>
  <c r="R8" i="21" s="1"/>
  <c r="S8" i="21" s="1"/>
  <c r="T8" i="21" s="1"/>
  <c r="U8" i="21" s="1"/>
  <c r="V8" i="21" s="1"/>
  <c r="W8" i="21" s="1"/>
  <c r="X8" i="21" s="1"/>
  <c r="Y8" i="21" s="1"/>
  <c r="Z8" i="21" s="1"/>
  <c r="AA8" i="21" s="1"/>
  <c r="AB8" i="21" s="1"/>
  <c r="AC8" i="21" s="1"/>
  <c r="AD8" i="21" s="1"/>
  <c r="AE8" i="21" s="1"/>
  <c r="AF8" i="21" s="1"/>
  <c r="AG8" i="21" s="1"/>
  <c r="AH8" i="21" s="1"/>
  <c r="AI8" i="21" s="1"/>
  <c r="AJ8" i="21" s="1"/>
  <c r="AK8" i="21" s="1"/>
  <c r="AL8" i="21" s="1"/>
  <c r="AM8" i="21" s="1"/>
  <c r="AN8" i="21" s="1"/>
  <c r="AO8" i="21" s="1"/>
  <c r="AP8" i="21" s="1"/>
  <c r="AQ8" i="21" s="1"/>
  <c r="AR8" i="21" s="1"/>
  <c r="F7" i="21"/>
  <c r="F57" i="21" s="1"/>
  <c r="A4" i="21"/>
  <c r="A1" i="21"/>
  <c r="F48" i="21" l="1"/>
  <c r="F45" i="21"/>
  <c r="F47" i="21"/>
  <c r="F46" i="21"/>
  <c r="G36" i="23"/>
  <c r="G68" i="2"/>
  <c r="G77" i="2"/>
  <c r="G87" i="2" s="1"/>
  <c r="H39" i="2"/>
  <c r="H58" i="2" s="1"/>
  <c r="G49" i="2"/>
  <c r="G24" i="23"/>
  <c r="G34" i="23"/>
  <c r="D24" i="23"/>
  <c r="F24" i="23" s="1"/>
  <c r="F27" i="23" s="1"/>
  <c r="F41" i="23" s="1"/>
  <c r="G19" i="23"/>
  <c r="G9" i="23"/>
  <c r="G21" i="23"/>
  <c r="H7" i="23"/>
  <c r="H7" i="22"/>
  <c r="G9" i="22"/>
  <c r="F35" i="21"/>
  <c r="F27" i="21" s="1"/>
  <c r="F9" i="21"/>
  <c r="G7" i="21"/>
  <c r="G57" i="21" s="1"/>
  <c r="D39" i="20"/>
  <c r="F17" i="20"/>
  <c r="F18" i="20" s="1"/>
  <c r="Q14" i="20"/>
  <c r="Q13" i="20"/>
  <c r="F11" i="20"/>
  <c r="F12" i="20" s="1"/>
  <c r="F4" i="20"/>
  <c r="F5" i="20" s="1"/>
  <c r="S12" i="20" l="1"/>
  <c r="Q15" i="20" s="1"/>
  <c r="F2" i="20"/>
  <c r="I2" i="20" s="1"/>
  <c r="F28" i="23"/>
  <c r="F29" i="23"/>
  <c r="G48" i="21"/>
  <c r="G45" i="21"/>
  <c r="G46" i="21"/>
  <c r="G47" i="21"/>
  <c r="F49" i="21"/>
  <c r="H68" i="2"/>
  <c r="H77" i="2"/>
  <c r="H87" i="2" s="1"/>
  <c r="I39" i="2"/>
  <c r="I58" i="2" s="1"/>
  <c r="H49" i="2"/>
  <c r="F22" i="24"/>
  <c r="G27" i="23"/>
  <c r="G41" i="23" s="1"/>
  <c r="H34" i="23"/>
  <c r="H36" i="23"/>
  <c r="H19" i="23"/>
  <c r="H24" i="23"/>
  <c r="H21" i="23"/>
  <c r="I7" i="23"/>
  <c r="H9" i="23"/>
  <c r="H9" i="22"/>
  <c r="I7" i="22"/>
  <c r="G35" i="21"/>
  <c r="G27" i="21" s="1"/>
  <c r="H7" i="21"/>
  <c r="H57" i="21" s="1"/>
  <c r="G9" i="21"/>
  <c r="D25" i="20"/>
  <c r="S13" i="20" l="1"/>
  <c r="D40" i="20"/>
  <c r="F40" i="20" s="1"/>
  <c r="F41" i="20" s="1"/>
  <c r="F43" i="23"/>
  <c r="F42" i="23"/>
  <c r="G29" i="23"/>
  <c r="G28" i="23"/>
  <c r="H46" i="21"/>
  <c r="H45" i="21"/>
  <c r="H48" i="21"/>
  <c r="H47" i="21"/>
  <c r="I68" i="2"/>
  <c r="I77" i="2"/>
  <c r="I87" i="2" s="1"/>
  <c r="J39" i="2"/>
  <c r="J58" i="2" s="1"/>
  <c r="I49" i="2"/>
  <c r="F68" i="26"/>
  <c r="F52" i="24"/>
  <c r="G22" i="24"/>
  <c r="H27" i="23"/>
  <c r="H41" i="23" s="1"/>
  <c r="I34" i="23"/>
  <c r="I36" i="23"/>
  <c r="I19" i="23"/>
  <c r="I24" i="23"/>
  <c r="H10" i="23"/>
  <c r="I21" i="23"/>
  <c r="G10" i="23"/>
  <c r="I9" i="23"/>
  <c r="F10" i="23"/>
  <c r="I10" i="23"/>
  <c r="J7" i="23"/>
  <c r="G10" i="22"/>
  <c r="I10" i="22"/>
  <c r="F10" i="22"/>
  <c r="H10" i="22"/>
  <c r="G49" i="21"/>
  <c r="J7" i="22"/>
  <c r="J10" i="22" s="1"/>
  <c r="I9" i="22"/>
  <c r="H35" i="21"/>
  <c r="H27" i="21" s="1"/>
  <c r="I7" i="21"/>
  <c r="I57" i="21" s="1"/>
  <c r="H9" i="21"/>
  <c r="F25" i="20"/>
  <c r="F26" i="20" s="1"/>
  <c r="D32" i="20"/>
  <c r="D33" i="20" s="1"/>
  <c r="F33" i="20" s="1"/>
  <c r="F34" i="20" s="1"/>
  <c r="G42" i="23" l="1"/>
  <c r="G43" i="23"/>
  <c r="H29" i="23"/>
  <c r="H28" i="23"/>
  <c r="I46" i="21"/>
  <c r="I45" i="21"/>
  <c r="I47" i="21"/>
  <c r="I48" i="21"/>
  <c r="J68" i="2"/>
  <c r="J77" i="2"/>
  <c r="J87" i="2" s="1"/>
  <c r="K39" i="2"/>
  <c r="K58" i="2" s="1"/>
  <c r="J49" i="2"/>
  <c r="H10" i="21"/>
  <c r="H16" i="21" s="1"/>
  <c r="G68" i="26"/>
  <c r="I27" i="23"/>
  <c r="I41" i="23" s="1"/>
  <c r="G52" i="24"/>
  <c r="H22" i="24"/>
  <c r="J34" i="23"/>
  <c r="J36" i="23"/>
  <c r="J19" i="23"/>
  <c r="J24" i="23"/>
  <c r="J21" i="23"/>
  <c r="J9" i="23"/>
  <c r="K7" i="23"/>
  <c r="J10" i="23"/>
  <c r="H16" i="22"/>
  <c r="H17" i="22"/>
  <c r="F16" i="22"/>
  <c r="F17" i="22"/>
  <c r="I17" i="22"/>
  <c r="I16" i="22"/>
  <c r="J16" i="22"/>
  <c r="J17" i="22"/>
  <c r="G16" i="22"/>
  <c r="G17" i="22"/>
  <c r="G10" i="21"/>
  <c r="F10" i="21"/>
  <c r="I10" i="21"/>
  <c r="I15" i="21" s="1"/>
  <c r="H49" i="21"/>
  <c r="H15" i="22"/>
  <c r="I15" i="22"/>
  <c r="K7" i="22"/>
  <c r="K10" i="22" s="1"/>
  <c r="J9" i="22"/>
  <c r="F15" i="22"/>
  <c r="G15" i="22"/>
  <c r="J7" i="21"/>
  <c r="J57" i="21" s="1"/>
  <c r="I35" i="21"/>
  <c r="I27" i="21" s="1"/>
  <c r="I9" i="21"/>
  <c r="A3" i="2"/>
  <c r="H43" i="23" l="1"/>
  <c r="H42" i="23"/>
  <c r="I29" i="23"/>
  <c r="I28" i="23"/>
  <c r="H17" i="21"/>
  <c r="H62" i="21" s="1"/>
  <c r="J46" i="21"/>
  <c r="J47" i="21"/>
  <c r="J48" i="21"/>
  <c r="J45" i="21"/>
  <c r="K68" i="2"/>
  <c r="K77" i="2"/>
  <c r="K87" i="2" s="1"/>
  <c r="L39" i="2"/>
  <c r="L58" i="2" s="1"/>
  <c r="K49" i="2"/>
  <c r="A3" i="33"/>
  <c r="A3" i="35"/>
  <c r="A3" i="28"/>
  <c r="A3" i="29"/>
  <c r="J27" i="23"/>
  <c r="J41" i="23" s="1"/>
  <c r="I22" i="24"/>
  <c r="I25" i="24" s="1"/>
  <c r="D31" i="24" s="1"/>
  <c r="H68" i="26"/>
  <c r="H52" i="24"/>
  <c r="A3" i="24"/>
  <c r="A3" i="26"/>
  <c r="K34" i="23"/>
  <c r="K36" i="23"/>
  <c r="K19" i="23"/>
  <c r="K24" i="23"/>
  <c r="K21" i="23"/>
  <c r="L7" i="23"/>
  <c r="K9" i="23"/>
  <c r="K10" i="23"/>
  <c r="A3" i="22"/>
  <c r="A3" i="23"/>
  <c r="J10" i="21"/>
  <c r="J17" i="21" s="1"/>
  <c r="I16" i="21"/>
  <c r="I61" i="21" s="1"/>
  <c r="I17" i="21"/>
  <c r="I62" i="21" s="1"/>
  <c r="F16" i="21"/>
  <c r="F61" i="21" s="1"/>
  <c r="F17" i="21"/>
  <c r="F62" i="21" s="1"/>
  <c r="G15" i="21"/>
  <c r="G60" i="21" s="1"/>
  <c r="G16" i="21"/>
  <c r="G61" i="21" s="1"/>
  <c r="G17" i="21"/>
  <c r="G62" i="21" s="1"/>
  <c r="K17" i="22"/>
  <c r="K16" i="22"/>
  <c r="I60" i="21"/>
  <c r="I49" i="21"/>
  <c r="L7" i="22"/>
  <c r="L10" i="22" s="1"/>
  <c r="K9" i="22"/>
  <c r="J15" i="22"/>
  <c r="F15" i="21"/>
  <c r="I30" i="21"/>
  <c r="J35" i="21"/>
  <c r="J27" i="21" s="1"/>
  <c r="K7" i="21"/>
  <c r="K57" i="21" s="1"/>
  <c r="J9" i="21"/>
  <c r="H15" i="21"/>
  <c r="H60" i="21" s="1"/>
  <c r="H61" i="21"/>
  <c r="A3" i="21"/>
  <c r="E17" i="18"/>
  <c r="D17" i="18"/>
  <c r="E36" i="1" s="1"/>
  <c r="B17" i="18"/>
  <c r="I43" i="23" l="1"/>
  <c r="I52" i="24"/>
  <c r="I42" i="23"/>
  <c r="J29" i="23"/>
  <c r="J28" i="23"/>
  <c r="K46" i="21"/>
  <c r="K45" i="21"/>
  <c r="K47" i="21"/>
  <c r="K48" i="21"/>
  <c r="J22" i="24"/>
  <c r="J40" i="24" s="1"/>
  <c r="I68" i="26"/>
  <c r="L68" i="2"/>
  <c r="L77" i="2"/>
  <c r="L87" i="2" s="1"/>
  <c r="M39" i="2"/>
  <c r="M58" i="2" s="1"/>
  <c r="L49" i="2"/>
  <c r="J52" i="24"/>
  <c r="K27" i="23"/>
  <c r="K41" i="23" s="1"/>
  <c r="I27" i="24"/>
  <c r="D33" i="24" s="1"/>
  <c r="D59" i="24" s="1"/>
  <c r="I26" i="24"/>
  <c r="D32" i="24" s="1"/>
  <c r="J16" i="21"/>
  <c r="J61" i="21" s="1"/>
  <c r="F32" i="21"/>
  <c r="F36" i="21" s="1"/>
  <c r="G40" i="24"/>
  <c r="I40" i="24"/>
  <c r="H40" i="24"/>
  <c r="F40" i="24"/>
  <c r="D57" i="24"/>
  <c r="L34" i="23"/>
  <c r="L36" i="23"/>
  <c r="L19" i="23"/>
  <c r="L24" i="23"/>
  <c r="L21" i="23"/>
  <c r="M7" i="23"/>
  <c r="L10" i="23"/>
  <c r="L9" i="23"/>
  <c r="K10" i="21"/>
  <c r="K16" i="21" s="1"/>
  <c r="G30" i="21"/>
  <c r="L16" i="22"/>
  <c r="L17" i="22"/>
  <c r="F30" i="21"/>
  <c r="F60" i="21"/>
  <c r="J49" i="21"/>
  <c r="K15" i="22"/>
  <c r="L9" i="22"/>
  <c r="M7" i="22"/>
  <c r="M10" i="22" s="1"/>
  <c r="I31" i="21"/>
  <c r="J32" i="21"/>
  <c r="J15" i="21"/>
  <c r="J60" i="21" s="1"/>
  <c r="H30" i="21"/>
  <c r="G31" i="21"/>
  <c r="I32" i="21"/>
  <c r="H31" i="21"/>
  <c r="F31" i="21"/>
  <c r="H32" i="21"/>
  <c r="G32" i="21"/>
  <c r="L7" i="21"/>
  <c r="L57" i="21" s="1"/>
  <c r="K9" i="21"/>
  <c r="K35" i="21"/>
  <c r="K27" i="21" s="1"/>
  <c r="E16" i="1"/>
  <c r="J43" i="23" l="1"/>
  <c r="J42" i="23"/>
  <c r="K28" i="23"/>
  <c r="K29" i="23"/>
  <c r="J41" i="24"/>
  <c r="J46" i="24" s="1"/>
  <c r="L45" i="21"/>
  <c r="L47" i="21"/>
  <c r="L48" i="21"/>
  <c r="L46" i="21"/>
  <c r="J68" i="26"/>
  <c r="J31" i="21"/>
  <c r="M68" i="2"/>
  <c r="M77" i="2"/>
  <c r="M87" i="2" s="1"/>
  <c r="N39" i="2"/>
  <c r="N58" i="2" s="1"/>
  <c r="M49" i="2"/>
  <c r="H41" i="24"/>
  <c r="H46" i="24" s="1"/>
  <c r="D58" i="24"/>
  <c r="H67" i="24" s="1"/>
  <c r="H72" i="24" s="1"/>
  <c r="F41" i="24"/>
  <c r="F42" i="24" s="1"/>
  <c r="L27" i="23"/>
  <c r="L41" i="23" s="1"/>
  <c r="I41" i="24"/>
  <c r="I46" i="24" s="1"/>
  <c r="G41" i="24"/>
  <c r="G46" i="24" s="1"/>
  <c r="K22" i="24"/>
  <c r="K40" i="24" s="1"/>
  <c r="K45" i="24" s="1"/>
  <c r="K15" i="21"/>
  <c r="K60" i="21" s="1"/>
  <c r="J45" i="24"/>
  <c r="F45" i="24"/>
  <c r="J66" i="24"/>
  <c r="K17" i="21"/>
  <c r="K62" i="21" s="1"/>
  <c r="F66" i="24"/>
  <c r="G66" i="24"/>
  <c r="H45" i="24"/>
  <c r="H66" i="24"/>
  <c r="I45" i="24"/>
  <c r="I66" i="24"/>
  <c r="G45" i="24"/>
  <c r="M34" i="23"/>
  <c r="M36" i="23"/>
  <c r="M19" i="23"/>
  <c r="M24" i="23"/>
  <c r="M21" i="23"/>
  <c r="M10" i="23"/>
  <c r="M9" i="23"/>
  <c r="N7" i="23"/>
  <c r="L10" i="21"/>
  <c r="L17" i="21" s="1"/>
  <c r="M16" i="22"/>
  <c r="M17" i="22"/>
  <c r="I36" i="21"/>
  <c r="H36" i="21"/>
  <c r="J36" i="21"/>
  <c r="G36" i="21"/>
  <c r="F39" i="21"/>
  <c r="F71" i="21" s="1"/>
  <c r="F51" i="2" s="1"/>
  <c r="F40" i="21"/>
  <c r="F72" i="21" s="1"/>
  <c r="F70" i="2" s="1"/>
  <c r="F41" i="21"/>
  <c r="F73" i="21" s="1"/>
  <c r="F89" i="2" s="1"/>
  <c r="J62" i="21"/>
  <c r="K49" i="21"/>
  <c r="M9" i="22"/>
  <c r="N7" i="22"/>
  <c r="N10" i="22" s="1"/>
  <c r="L15" i="22"/>
  <c r="J30" i="21"/>
  <c r="M7" i="21"/>
  <c r="M57" i="21" s="1"/>
  <c r="K61" i="21"/>
  <c r="L35" i="21"/>
  <c r="L27" i="21" s="1"/>
  <c r="L9" i="21"/>
  <c r="E17" i="1"/>
  <c r="K42" i="23" l="1"/>
  <c r="K43" i="23"/>
  <c r="L29" i="23"/>
  <c r="L28" i="23"/>
  <c r="K52" i="24"/>
  <c r="K66" i="24" s="1"/>
  <c r="J42" i="24"/>
  <c r="J47" i="24"/>
  <c r="I42" i="24"/>
  <c r="M47" i="21"/>
  <c r="M48" i="21"/>
  <c r="M45" i="21"/>
  <c r="M46" i="21"/>
  <c r="G67" i="24"/>
  <c r="G72" i="24" s="1"/>
  <c r="F67" i="24"/>
  <c r="F68" i="24" s="1"/>
  <c r="L68" i="26"/>
  <c r="I67" i="24"/>
  <c r="I72" i="24" s="1"/>
  <c r="J67" i="24"/>
  <c r="J72" i="24" s="1"/>
  <c r="L22" i="24"/>
  <c r="L41" i="24" s="1"/>
  <c r="H47" i="24"/>
  <c r="H42" i="24"/>
  <c r="F46" i="24"/>
  <c r="F47" i="24" s="1"/>
  <c r="N68" i="2"/>
  <c r="N77" i="2"/>
  <c r="N87" i="2" s="1"/>
  <c r="O39" i="2"/>
  <c r="O58" i="2" s="1"/>
  <c r="N49" i="2"/>
  <c r="G42" i="24"/>
  <c r="G47" i="24"/>
  <c r="M27" i="23"/>
  <c r="M41" i="23" s="1"/>
  <c r="I47" i="24"/>
  <c r="K68" i="26"/>
  <c r="K41" i="24"/>
  <c r="K46" i="24" s="1"/>
  <c r="K47" i="24" s="1"/>
  <c r="K30" i="21"/>
  <c r="H71" i="24"/>
  <c r="H73" i="24" s="1"/>
  <c r="H68" i="24"/>
  <c r="I71" i="24"/>
  <c r="G71" i="24"/>
  <c r="F71" i="24"/>
  <c r="J71" i="24"/>
  <c r="N34" i="23"/>
  <c r="N36" i="23"/>
  <c r="N19" i="23"/>
  <c r="N24" i="23"/>
  <c r="N21" i="23"/>
  <c r="O7" i="23"/>
  <c r="N10" i="23"/>
  <c r="N9" i="23"/>
  <c r="M10" i="21"/>
  <c r="M16" i="21" s="1"/>
  <c r="L16" i="21"/>
  <c r="L61" i="21" s="1"/>
  <c r="N16" i="22"/>
  <c r="N17" i="22"/>
  <c r="H40" i="21"/>
  <c r="H72" i="21" s="1"/>
  <c r="H70" i="2" s="1"/>
  <c r="H41" i="21"/>
  <c r="H73" i="21" s="1"/>
  <c r="H89" i="2" s="1"/>
  <c r="H39" i="21"/>
  <c r="H71" i="21" s="1"/>
  <c r="H51" i="2" s="1"/>
  <c r="J39" i="21"/>
  <c r="J71" i="21" s="1"/>
  <c r="J51" i="2" s="1"/>
  <c r="J40" i="21"/>
  <c r="J72" i="21" s="1"/>
  <c r="J70" i="2" s="1"/>
  <c r="J41" i="21"/>
  <c r="J73" i="21" s="1"/>
  <c r="J89" i="2" s="1"/>
  <c r="I41" i="21"/>
  <c r="I73" i="21" s="1"/>
  <c r="I89" i="2" s="1"/>
  <c r="I39" i="21"/>
  <c r="I71" i="21" s="1"/>
  <c r="I51" i="2" s="1"/>
  <c r="I40" i="21"/>
  <c r="I72" i="21" s="1"/>
  <c r="I70" i="2" s="1"/>
  <c r="G39" i="21"/>
  <c r="G71" i="21" s="1"/>
  <c r="G51" i="2" s="1"/>
  <c r="G40" i="21"/>
  <c r="G72" i="21" s="1"/>
  <c r="G70" i="2" s="1"/>
  <c r="G41" i="21"/>
  <c r="G73" i="21" s="1"/>
  <c r="G89" i="2" s="1"/>
  <c r="L62" i="21"/>
  <c r="L49" i="21"/>
  <c r="O7" i="22"/>
  <c r="O10" i="22" s="1"/>
  <c r="N9" i="22"/>
  <c r="M15" i="22"/>
  <c r="K32" i="21"/>
  <c r="K31" i="21"/>
  <c r="L32" i="21"/>
  <c r="N7" i="21"/>
  <c r="N57" i="21" s="1"/>
  <c r="M9" i="21"/>
  <c r="M35" i="21"/>
  <c r="M27" i="21" s="1"/>
  <c r="L15" i="21"/>
  <c r="L60" i="21" s="1"/>
  <c r="E21" i="1"/>
  <c r="H11" i="26" s="1"/>
  <c r="L42" i="23" l="1"/>
  <c r="L43" i="23"/>
  <c r="K67" i="24"/>
  <c r="K72" i="24" s="1"/>
  <c r="M29" i="23"/>
  <c r="M28" i="23"/>
  <c r="G73" i="24"/>
  <c r="L52" i="24"/>
  <c r="L66" i="24" s="1"/>
  <c r="I73" i="24"/>
  <c r="N48" i="21"/>
  <c r="N45" i="21"/>
  <c r="N46" i="21"/>
  <c r="N47" i="21"/>
  <c r="I68" i="24"/>
  <c r="F72" i="24"/>
  <c r="F73" i="24" s="1"/>
  <c r="G68" i="24"/>
  <c r="J73" i="24"/>
  <c r="L40" i="24"/>
  <c r="L42" i="24" s="1"/>
  <c r="AB11" i="35"/>
  <c r="AB76" i="35" s="1"/>
  <c r="AB42" i="2" s="1"/>
  <c r="J68" i="24"/>
  <c r="T11" i="35"/>
  <c r="T77" i="35" s="1"/>
  <c r="T61" i="2" s="1"/>
  <c r="L11" i="35"/>
  <c r="L77" i="35" s="1"/>
  <c r="L61" i="2" s="1"/>
  <c r="M22" i="24"/>
  <c r="M41" i="24" s="1"/>
  <c r="M46" i="24" s="1"/>
  <c r="N27" i="23"/>
  <c r="N41" i="23" s="1"/>
  <c r="AR11" i="35"/>
  <c r="AR77" i="35" s="1"/>
  <c r="AJ11" i="35"/>
  <c r="AJ77" i="35" s="1"/>
  <c r="AJ61" i="2" s="1"/>
  <c r="AQ11" i="35"/>
  <c r="AI11" i="35"/>
  <c r="AA11" i="35"/>
  <c r="S11" i="35"/>
  <c r="K11" i="35"/>
  <c r="AP11" i="35"/>
  <c r="AH11" i="35"/>
  <c r="Z11" i="35"/>
  <c r="R11" i="35"/>
  <c r="J11" i="35"/>
  <c r="AO11" i="35"/>
  <c r="AG11" i="35"/>
  <c r="Y11" i="35"/>
  <c r="Q11" i="35"/>
  <c r="I11" i="35"/>
  <c r="AN11" i="35"/>
  <c r="AF11" i="35"/>
  <c r="X11" i="35"/>
  <c r="P11" i="35"/>
  <c r="H11" i="35"/>
  <c r="AM11" i="35"/>
  <c r="AE11" i="35"/>
  <c r="W11" i="35"/>
  <c r="O11" i="35"/>
  <c r="F11" i="35"/>
  <c r="AL11" i="35"/>
  <c r="AD11" i="35"/>
  <c r="V11" i="35"/>
  <c r="N11" i="35"/>
  <c r="G11" i="35"/>
  <c r="AK11" i="35"/>
  <c r="AC11" i="35"/>
  <c r="U11" i="35"/>
  <c r="M11" i="35"/>
  <c r="O68" i="2"/>
  <c r="O77" i="2"/>
  <c r="O87" i="2" s="1"/>
  <c r="P39" i="2"/>
  <c r="P58" i="2" s="1"/>
  <c r="O49" i="2"/>
  <c r="AB11" i="29"/>
  <c r="AB100" i="29" s="1"/>
  <c r="AB81" i="2" s="1"/>
  <c r="AK11" i="33"/>
  <c r="AC11" i="33"/>
  <c r="U11" i="33"/>
  <c r="M11" i="33"/>
  <c r="AA11" i="29"/>
  <c r="AR11" i="33"/>
  <c r="AJ11" i="33"/>
  <c r="AB11" i="33"/>
  <c r="T11" i="33"/>
  <c r="L11" i="33"/>
  <c r="AR11" i="29"/>
  <c r="AR100" i="29" s="1"/>
  <c r="AR81" i="2" s="1"/>
  <c r="U11" i="29"/>
  <c r="U98" i="29" s="1"/>
  <c r="U43" i="2" s="1"/>
  <c r="AQ11" i="33"/>
  <c r="AI11" i="33"/>
  <c r="AA11" i="33"/>
  <c r="S11" i="33"/>
  <c r="K11" i="33"/>
  <c r="AQ11" i="29"/>
  <c r="AQ100" i="29" s="1"/>
  <c r="AQ81" i="2" s="1"/>
  <c r="T11" i="29"/>
  <c r="T100" i="29" s="1"/>
  <c r="T81" i="2" s="1"/>
  <c r="AP11" i="33"/>
  <c r="AH11" i="33"/>
  <c r="Z11" i="33"/>
  <c r="R11" i="33"/>
  <c r="J11" i="33"/>
  <c r="AK11" i="29"/>
  <c r="AK100" i="29" s="1"/>
  <c r="AK81" i="2" s="1"/>
  <c r="S11" i="29"/>
  <c r="S100" i="29" s="1"/>
  <c r="S81" i="2" s="1"/>
  <c r="AO11" i="33"/>
  <c r="AG11" i="33"/>
  <c r="Y11" i="33"/>
  <c r="Q11" i="33"/>
  <c r="I11" i="33"/>
  <c r="AJ11" i="29"/>
  <c r="AJ100" i="29" s="1"/>
  <c r="AJ81" i="2" s="1"/>
  <c r="M11" i="29"/>
  <c r="M100" i="29" s="1"/>
  <c r="M81" i="2" s="1"/>
  <c r="AN11" i="33"/>
  <c r="AF11" i="33"/>
  <c r="X11" i="33"/>
  <c r="P11" i="33"/>
  <c r="H11" i="33"/>
  <c r="K42" i="24"/>
  <c r="AI11" i="29"/>
  <c r="AI100" i="29" s="1"/>
  <c r="AI81" i="2" s="1"/>
  <c r="L11" i="29"/>
  <c r="L100" i="29" s="1"/>
  <c r="L81" i="2" s="1"/>
  <c r="AM11" i="33"/>
  <c r="AE11" i="33"/>
  <c r="W11" i="33"/>
  <c r="O11" i="33"/>
  <c r="G11" i="33"/>
  <c r="AC11" i="29"/>
  <c r="K11" i="29"/>
  <c r="K100" i="29" s="1"/>
  <c r="K81" i="2" s="1"/>
  <c r="AL11" i="33"/>
  <c r="AD11" i="33"/>
  <c r="V11" i="33"/>
  <c r="N11" i="33"/>
  <c r="F11" i="33"/>
  <c r="AP11" i="29"/>
  <c r="AP100" i="29" s="1"/>
  <c r="AP81" i="2" s="1"/>
  <c r="AH11" i="29"/>
  <c r="AH100" i="29" s="1"/>
  <c r="AH81" i="2" s="1"/>
  <c r="Z11" i="29"/>
  <c r="Z100" i="29" s="1"/>
  <c r="Z81" i="2" s="1"/>
  <c r="R11" i="29"/>
  <c r="R100" i="29" s="1"/>
  <c r="R81" i="2" s="1"/>
  <c r="J11" i="29"/>
  <c r="J100" i="29" s="1"/>
  <c r="J81" i="2" s="1"/>
  <c r="AO11" i="29"/>
  <c r="AO100" i="29" s="1"/>
  <c r="AO81" i="2" s="1"/>
  <c r="AG11" i="29"/>
  <c r="AG100" i="29" s="1"/>
  <c r="AG81" i="2" s="1"/>
  <c r="Y11" i="29"/>
  <c r="Y100" i="29" s="1"/>
  <c r="Y81" i="2" s="1"/>
  <c r="Q11" i="29"/>
  <c r="Q100" i="29" s="1"/>
  <c r="Q81" i="2" s="1"/>
  <c r="I11" i="29"/>
  <c r="I100" i="29" s="1"/>
  <c r="I81" i="2" s="1"/>
  <c r="AN11" i="29"/>
  <c r="AN100" i="29" s="1"/>
  <c r="AN81" i="2" s="1"/>
  <c r="AF11" i="29"/>
  <c r="AF100" i="29" s="1"/>
  <c r="AF81" i="2" s="1"/>
  <c r="X11" i="29"/>
  <c r="X100" i="29" s="1"/>
  <c r="X81" i="2" s="1"/>
  <c r="P11" i="29"/>
  <c r="P100" i="29" s="1"/>
  <c r="P81" i="2" s="1"/>
  <c r="H11" i="29"/>
  <c r="H100" i="29" s="1"/>
  <c r="H81" i="2" s="1"/>
  <c r="AM11" i="29"/>
  <c r="AM100" i="29" s="1"/>
  <c r="AM81" i="2" s="1"/>
  <c r="AE11" i="29"/>
  <c r="AE100" i="29" s="1"/>
  <c r="AE81" i="2" s="1"/>
  <c r="W11" i="29"/>
  <c r="W100" i="29" s="1"/>
  <c r="W81" i="2" s="1"/>
  <c r="O11" i="29"/>
  <c r="O100" i="29" s="1"/>
  <c r="O81" i="2" s="1"/>
  <c r="G11" i="29"/>
  <c r="G100" i="29" s="1"/>
  <c r="G81" i="2" s="1"/>
  <c r="AL11" i="29"/>
  <c r="AL100" i="29" s="1"/>
  <c r="AL81" i="2" s="1"/>
  <c r="AD11" i="29"/>
  <c r="AD100" i="29" s="1"/>
  <c r="AD81" i="2" s="1"/>
  <c r="V11" i="29"/>
  <c r="V100" i="29" s="1"/>
  <c r="V81" i="2" s="1"/>
  <c r="N11" i="29"/>
  <c r="N100" i="29" s="1"/>
  <c r="N81" i="2" s="1"/>
  <c r="F11" i="29"/>
  <c r="F100" i="29" s="1"/>
  <c r="F81" i="2" s="1"/>
  <c r="AN11" i="24"/>
  <c r="AA11" i="28"/>
  <c r="S11" i="28"/>
  <c r="Z11" i="28"/>
  <c r="R11" i="28"/>
  <c r="AF11" i="24"/>
  <c r="AQ11" i="28"/>
  <c r="K11" i="28"/>
  <c r="AP11" i="28"/>
  <c r="J11" i="28"/>
  <c r="AI11" i="28"/>
  <c r="AH11" i="28"/>
  <c r="H11" i="24"/>
  <c r="H78" i="24" s="1"/>
  <c r="H59" i="2" s="1"/>
  <c r="AO11" i="28"/>
  <c r="AG11" i="28"/>
  <c r="Y11" i="28"/>
  <c r="Q11" i="28"/>
  <c r="I11" i="28"/>
  <c r="AM11" i="26"/>
  <c r="AN11" i="28"/>
  <c r="AF11" i="28"/>
  <c r="X11" i="28"/>
  <c r="P11" i="28"/>
  <c r="H11" i="28"/>
  <c r="AM11" i="28"/>
  <c r="AE11" i="28"/>
  <c r="W11" i="28"/>
  <c r="O11" i="28"/>
  <c r="G11" i="28"/>
  <c r="F11" i="26"/>
  <c r="F13" i="26" s="1"/>
  <c r="AL11" i="28"/>
  <c r="AD11" i="28"/>
  <c r="V11" i="28"/>
  <c r="N11" i="28"/>
  <c r="F11" i="28"/>
  <c r="F13" i="28" s="1"/>
  <c r="O11" i="26"/>
  <c r="AK11" i="28"/>
  <c r="AC11" i="28"/>
  <c r="U11" i="28"/>
  <c r="M11" i="28"/>
  <c r="AR11" i="28"/>
  <c r="AJ11" i="28"/>
  <c r="AB11" i="28"/>
  <c r="T11" i="28"/>
  <c r="L11" i="28"/>
  <c r="AM11" i="24"/>
  <c r="G11" i="24"/>
  <c r="N11" i="26"/>
  <c r="AE11" i="24"/>
  <c r="AL11" i="26"/>
  <c r="G11" i="26"/>
  <c r="K11" i="21"/>
  <c r="X11" i="24"/>
  <c r="AE11" i="26"/>
  <c r="K11" i="23"/>
  <c r="W11" i="24"/>
  <c r="AD11" i="26"/>
  <c r="N11" i="23"/>
  <c r="G11" i="21"/>
  <c r="P11" i="24"/>
  <c r="W11" i="26"/>
  <c r="M15" i="21"/>
  <c r="M60" i="21" s="1"/>
  <c r="L11" i="21"/>
  <c r="G11" i="23"/>
  <c r="O11" i="24"/>
  <c r="V11" i="26"/>
  <c r="J11" i="21"/>
  <c r="F11" i="21"/>
  <c r="F13" i="21" s="1"/>
  <c r="AL11" i="24"/>
  <c r="AD11" i="24"/>
  <c r="V11" i="24"/>
  <c r="N11" i="24"/>
  <c r="F11" i="24"/>
  <c r="AK11" i="26"/>
  <c r="AC11" i="26"/>
  <c r="U11" i="26"/>
  <c r="M11" i="26"/>
  <c r="K71" i="24"/>
  <c r="J11" i="23"/>
  <c r="F11" i="23"/>
  <c r="F13" i="23" s="1"/>
  <c r="AK11" i="24"/>
  <c r="AC11" i="24"/>
  <c r="U11" i="24"/>
  <c r="M11" i="24"/>
  <c r="AR11" i="26"/>
  <c r="AJ11" i="26"/>
  <c r="AB11" i="26"/>
  <c r="T11" i="26"/>
  <c r="L11" i="26"/>
  <c r="L46" i="24"/>
  <c r="M11" i="21"/>
  <c r="I11" i="21"/>
  <c r="AJ11" i="24"/>
  <c r="AB11" i="24"/>
  <c r="L11" i="24"/>
  <c r="AQ11" i="26"/>
  <c r="AI11" i="26"/>
  <c r="AA11" i="26"/>
  <c r="S11" i="26"/>
  <c r="K11" i="26"/>
  <c r="AR11" i="24"/>
  <c r="T11" i="24"/>
  <c r="H11" i="21"/>
  <c r="AQ11" i="24"/>
  <c r="AI11" i="24"/>
  <c r="AA11" i="24"/>
  <c r="S11" i="24"/>
  <c r="K11" i="24"/>
  <c r="AP11" i="26"/>
  <c r="AH11" i="26"/>
  <c r="V24" i="10" s="1"/>
  <c r="Z11" i="26"/>
  <c r="R11" i="26"/>
  <c r="J11" i="26"/>
  <c r="AP11" i="24"/>
  <c r="AH11" i="24"/>
  <c r="R11" i="24"/>
  <c r="J11" i="24"/>
  <c r="AO11" i="26"/>
  <c r="AG11" i="26"/>
  <c r="Y11" i="26"/>
  <c r="Q11" i="26"/>
  <c r="I11" i="26"/>
  <c r="M11" i="23"/>
  <c r="I11" i="23"/>
  <c r="Z11" i="24"/>
  <c r="L11" i="23"/>
  <c r="H11" i="23"/>
  <c r="AO11" i="24"/>
  <c r="AG11" i="24"/>
  <c r="Y11" i="24"/>
  <c r="Q11" i="24"/>
  <c r="I11" i="24"/>
  <c r="AN11" i="26"/>
  <c r="AF11" i="26"/>
  <c r="X11" i="26"/>
  <c r="P11" i="26"/>
  <c r="O34" i="23"/>
  <c r="O36" i="23"/>
  <c r="O19" i="23"/>
  <c r="O24" i="23"/>
  <c r="O21" i="23"/>
  <c r="O9" i="23"/>
  <c r="O11" i="23"/>
  <c r="P7" i="23"/>
  <c r="O10" i="23"/>
  <c r="N10" i="21"/>
  <c r="N17" i="21" s="1"/>
  <c r="N11" i="21"/>
  <c r="M17" i="21"/>
  <c r="M32" i="21" s="1"/>
  <c r="O16" i="22"/>
  <c r="O17" i="22"/>
  <c r="F22" i="22"/>
  <c r="F23" i="22" s="1"/>
  <c r="G22" i="22"/>
  <c r="G23" i="22" s="1"/>
  <c r="H22" i="22"/>
  <c r="H23" i="22" s="1"/>
  <c r="I22" i="22"/>
  <c r="I23" i="22" s="1"/>
  <c r="J22" i="22"/>
  <c r="J23" i="22" s="1"/>
  <c r="K22" i="22"/>
  <c r="K23" i="22" s="1"/>
  <c r="L22" i="22"/>
  <c r="L23" i="22" s="1"/>
  <c r="M22" i="22"/>
  <c r="M23" i="22" s="1"/>
  <c r="M27" i="22" s="1"/>
  <c r="M45" i="22" s="1"/>
  <c r="M11" i="22"/>
  <c r="L11" i="22"/>
  <c r="N11" i="22"/>
  <c r="I11" i="22"/>
  <c r="N22" i="22"/>
  <c r="N23" i="22" s="1"/>
  <c r="N27" i="22" s="1"/>
  <c r="N45" i="22" s="1"/>
  <c r="J11" i="22"/>
  <c r="K11" i="22"/>
  <c r="O22" i="22"/>
  <c r="O23" i="22" s="1"/>
  <c r="L36" i="21"/>
  <c r="K36" i="21"/>
  <c r="M49" i="21"/>
  <c r="H11" i="22"/>
  <c r="G11" i="22"/>
  <c r="F11" i="22"/>
  <c r="F13" i="22" s="1"/>
  <c r="O11" i="22"/>
  <c r="P7" i="22"/>
  <c r="O9" i="22"/>
  <c r="N15" i="22"/>
  <c r="N9" i="21"/>
  <c r="O7" i="21"/>
  <c r="O57" i="21" s="1"/>
  <c r="M31" i="21"/>
  <c r="L31" i="21"/>
  <c r="L30" i="21"/>
  <c r="N35" i="21"/>
  <c r="N27" i="21" s="1"/>
  <c r="K68" i="24" l="1"/>
  <c r="K73" i="24"/>
  <c r="M42" i="23"/>
  <c r="M43" i="23"/>
  <c r="N29" i="23"/>
  <c r="N28" i="23"/>
  <c r="G79" i="24"/>
  <c r="G78" i="2" s="1"/>
  <c r="L45" i="24"/>
  <c r="L47" i="24" s="1"/>
  <c r="AB77" i="35"/>
  <c r="AB61" i="2" s="1"/>
  <c r="AB78" i="35"/>
  <c r="AB80" i="2" s="1"/>
  <c r="L67" i="24"/>
  <c r="L68" i="24" s="1"/>
  <c r="T76" i="35"/>
  <c r="T42" i="2" s="1"/>
  <c r="O48" i="21"/>
  <c r="O46" i="21"/>
  <c r="O47" i="21"/>
  <c r="O45" i="21"/>
  <c r="M40" i="24"/>
  <c r="M42" i="24" s="1"/>
  <c r="T78" i="35"/>
  <c r="T80" i="2" s="1"/>
  <c r="N22" i="24"/>
  <c r="N41" i="24" s="1"/>
  <c r="N46" i="24" s="1"/>
  <c r="O27" i="23"/>
  <c r="O41" i="23" s="1"/>
  <c r="L78" i="35"/>
  <c r="L80" i="2" s="1"/>
  <c r="AB99" i="29"/>
  <c r="AB62" i="2" s="1"/>
  <c r="AR78" i="35"/>
  <c r="AR80" i="2" s="1"/>
  <c r="L76" i="35"/>
  <c r="L42" i="2" s="1"/>
  <c r="M98" i="29"/>
  <c r="M43" i="2" s="1"/>
  <c r="AR76" i="35"/>
  <c r="AR42" i="2" s="1"/>
  <c r="AK98" i="29"/>
  <c r="AK43" i="2" s="1"/>
  <c r="S98" i="29"/>
  <c r="S43" i="2" s="1"/>
  <c r="AJ78" i="35"/>
  <c r="AJ80" i="2" s="1"/>
  <c r="S99" i="29"/>
  <c r="S62" i="2" s="1"/>
  <c r="AJ76" i="35"/>
  <c r="AJ42" i="2" s="1"/>
  <c r="K98" i="29"/>
  <c r="K43" i="2" s="1"/>
  <c r="AQ99" i="29"/>
  <c r="AQ62" i="2" s="1"/>
  <c r="AQ98" i="29"/>
  <c r="AQ43" i="2" s="1"/>
  <c r="AJ99" i="29"/>
  <c r="AJ62" i="2" s="1"/>
  <c r="AR99" i="29"/>
  <c r="AR62" i="2" s="1"/>
  <c r="AJ98" i="29"/>
  <c r="AJ43" i="2" s="1"/>
  <c r="AR98" i="29"/>
  <c r="AR43" i="2" s="1"/>
  <c r="T98" i="29"/>
  <c r="T43" i="2" s="1"/>
  <c r="AB98" i="29"/>
  <c r="AB43" i="2" s="1"/>
  <c r="T99" i="29"/>
  <c r="T62" i="2" s="1"/>
  <c r="K46" i="33"/>
  <c r="K64" i="2" s="1"/>
  <c r="K47" i="33"/>
  <c r="K83" i="2" s="1"/>
  <c r="K45" i="33"/>
  <c r="K45" i="2" s="1"/>
  <c r="AK47" i="33"/>
  <c r="AK83" i="2" s="1"/>
  <c r="AK45" i="33"/>
  <c r="AK45" i="2" s="1"/>
  <c r="AK46" i="33"/>
  <c r="AK64" i="2" s="1"/>
  <c r="Y77" i="35"/>
  <c r="Y61" i="2" s="1"/>
  <c r="Y78" i="35"/>
  <c r="Y80" i="2" s="1"/>
  <c r="Y76" i="35"/>
  <c r="Y42" i="2" s="1"/>
  <c r="J46" i="33"/>
  <c r="J64" i="2" s="1"/>
  <c r="J45" i="33"/>
  <c r="J45" i="2" s="1"/>
  <c r="J47" i="33"/>
  <c r="J83" i="2" s="1"/>
  <c r="S47" i="33"/>
  <c r="S83" i="2" s="1"/>
  <c r="S45" i="33"/>
  <c r="S45" i="2" s="1"/>
  <c r="S46" i="33"/>
  <c r="S64" i="2" s="1"/>
  <c r="AB45" i="33"/>
  <c r="AB45" i="2" s="1"/>
  <c r="AB46" i="33"/>
  <c r="AB64" i="2" s="1"/>
  <c r="AB47" i="33"/>
  <c r="AB83" i="2" s="1"/>
  <c r="AK76" i="35"/>
  <c r="AK42" i="2" s="1"/>
  <c r="AK78" i="35"/>
  <c r="AK80" i="2" s="1"/>
  <c r="AK77" i="35"/>
  <c r="AK61" i="2" s="1"/>
  <c r="AG78" i="35"/>
  <c r="AG80" i="2" s="1"/>
  <c r="AG76" i="35"/>
  <c r="AG42" i="2" s="1"/>
  <c r="AG77" i="35"/>
  <c r="AG61" i="2" s="1"/>
  <c r="Z78" i="35"/>
  <c r="Z80" i="2" s="1"/>
  <c r="Z76" i="35"/>
  <c r="Z42" i="2" s="1"/>
  <c r="Z77" i="35"/>
  <c r="Z61" i="2" s="1"/>
  <c r="S78" i="35"/>
  <c r="S80" i="2" s="1"/>
  <c r="S76" i="35"/>
  <c r="S42" i="2" s="1"/>
  <c r="S77" i="35"/>
  <c r="S61" i="2" s="1"/>
  <c r="AL45" i="33"/>
  <c r="AL45" i="2" s="1"/>
  <c r="AL46" i="33"/>
  <c r="AL64" i="2" s="1"/>
  <c r="AL47" i="33"/>
  <c r="AL83" i="2" s="1"/>
  <c r="AC98" i="29"/>
  <c r="AC43" i="2" s="1"/>
  <c r="AC100" i="29"/>
  <c r="AC81" i="2" s="1"/>
  <c r="I46" i="33"/>
  <c r="I64" i="2" s="1"/>
  <c r="I47" i="33"/>
  <c r="I83" i="2" s="1"/>
  <c r="I45" i="33"/>
  <c r="I45" i="2" s="1"/>
  <c r="R47" i="33"/>
  <c r="R83" i="2" s="1"/>
  <c r="R46" i="33"/>
  <c r="R64" i="2" s="1"/>
  <c r="R45" i="33"/>
  <c r="R45" i="2" s="1"/>
  <c r="AA45" i="33"/>
  <c r="AA45" i="2" s="1"/>
  <c r="AA47" i="33"/>
  <c r="AA83" i="2" s="1"/>
  <c r="AA46" i="33"/>
  <c r="AA64" i="2" s="1"/>
  <c r="AJ45" i="33"/>
  <c r="AJ45" i="2" s="1"/>
  <c r="AJ46" i="33"/>
  <c r="AJ64" i="2" s="1"/>
  <c r="AJ47" i="33"/>
  <c r="AJ83" i="2" s="1"/>
  <c r="G77" i="35"/>
  <c r="G61" i="2" s="1"/>
  <c r="G78" i="35"/>
  <c r="G80" i="2" s="1"/>
  <c r="G76" i="35"/>
  <c r="G42" i="2" s="1"/>
  <c r="AO77" i="35"/>
  <c r="AO61" i="2" s="1"/>
  <c r="AO78" i="35"/>
  <c r="AO80" i="2" s="1"/>
  <c r="AO76" i="35"/>
  <c r="AO42" i="2" s="1"/>
  <c r="AH78" i="35"/>
  <c r="AH80" i="2" s="1"/>
  <c r="AH77" i="35"/>
  <c r="AH61" i="2" s="1"/>
  <c r="AH76" i="35"/>
  <c r="AH42" i="2" s="1"/>
  <c r="AA78" i="35"/>
  <c r="AA80" i="2" s="1"/>
  <c r="AA76" i="35"/>
  <c r="AA42" i="2" s="1"/>
  <c r="AA77" i="35"/>
  <c r="AA61" i="2" s="1"/>
  <c r="R78" i="35"/>
  <c r="R80" i="2" s="1"/>
  <c r="R77" i="35"/>
  <c r="R61" i="2" s="1"/>
  <c r="R76" i="35"/>
  <c r="R42" i="2" s="1"/>
  <c r="L99" i="29"/>
  <c r="L62" i="2" s="1"/>
  <c r="G45" i="33"/>
  <c r="G45" i="2" s="1"/>
  <c r="G46" i="33"/>
  <c r="G64" i="2" s="1"/>
  <c r="G47" i="33"/>
  <c r="G83" i="2" s="1"/>
  <c r="H45" i="33"/>
  <c r="H45" i="2" s="1"/>
  <c r="H46" i="33"/>
  <c r="H64" i="2" s="1"/>
  <c r="H47" i="33"/>
  <c r="H83" i="2" s="1"/>
  <c r="Q46" i="33"/>
  <c r="Q64" i="2" s="1"/>
  <c r="Q47" i="33"/>
  <c r="Q83" i="2" s="1"/>
  <c r="Q45" i="33"/>
  <c r="Q45" i="2" s="1"/>
  <c r="Z46" i="33"/>
  <c r="Z64" i="2" s="1"/>
  <c r="Z47" i="33"/>
  <c r="Z83" i="2" s="1"/>
  <c r="Z45" i="33"/>
  <c r="Z45" i="2" s="1"/>
  <c r="AI47" i="33"/>
  <c r="AI83" i="2" s="1"/>
  <c r="AI46" i="33"/>
  <c r="AI64" i="2" s="1"/>
  <c r="AI45" i="33"/>
  <c r="AI45" i="2" s="1"/>
  <c r="AR45" i="33"/>
  <c r="AR45" i="2" s="1"/>
  <c r="AR47" i="33"/>
  <c r="AR83" i="2" s="1"/>
  <c r="AR46" i="33"/>
  <c r="AR64" i="2" s="1"/>
  <c r="N76" i="35"/>
  <c r="N42" i="2" s="1"/>
  <c r="N78" i="35"/>
  <c r="N80" i="2" s="1"/>
  <c r="N77" i="35"/>
  <c r="N61" i="2" s="1"/>
  <c r="F13" i="35"/>
  <c r="G13" i="35" s="1"/>
  <c r="H13" i="35" s="1"/>
  <c r="I13" i="35" s="1"/>
  <c r="J13" i="35" s="1"/>
  <c r="K13" i="35" s="1"/>
  <c r="L13" i="35" s="1"/>
  <c r="M13" i="35" s="1"/>
  <c r="N13" i="35" s="1"/>
  <c r="O13" i="35" s="1"/>
  <c r="P13" i="35" s="1"/>
  <c r="Q13" i="35" s="1"/>
  <c r="R13" i="35" s="1"/>
  <c r="S13" i="35" s="1"/>
  <c r="T13" i="35" s="1"/>
  <c r="U13" i="35" s="1"/>
  <c r="V13" i="35" s="1"/>
  <c r="W13" i="35" s="1"/>
  <c r="X13" i="35" s="1"/>
  <c r="Y13" i="35" s="1"/>
  <c r="Z13" i="35" s="1"/>
  <c r="AA13" i="35" s="1"/>
  <c r="AB13" i="35" s="1"/>
  <c r="AC13" i="35" s="1"/>
  <c r="AD13" i="35" s="1"/>
  <c r="AE13" i="35" s="1"/>
  <c r="AF13" i="35" s="1"/>
  <c r="AG13" i="35" s="1"/>
  <c r="AH13" i="35" s="1"/>
  <c r="AI13" i="35" s="1"/>
  <c r="AJ13" i="35" s="1"/>
  <c r="AK13" i="35" s="1"/>
  <c r="AL13" i="35" s="1"/>
  <c r="AM13" i="35" s="1"/>
  <c r="AN13" i="35" s="1"/>
  <c r="AO13" i="35" s="1"/>
  <c r="AP13" i="35" s="1"/>
  <c r="AQ13" i="35" s="1"/>
  <c r="AR13" i="35" s="1"/>
  <c r="F78" i="35"/>
  <c r="F80" i="2" s="1"/>
  <c r="F76" i="35"/>
  <c r="F42" i="2" s="1"/>
  <c r="F77" i="35"/>
  <c r="F61" i="2" s="1"/>
  <c r="AP78" i="35"/>
  <c r="AP80" i="2" s="1"/>
  <c r="AP77" i="35"/>
  <c r="AP61" i="2" s="1"/>
  <c r="AP76" i="35"/>
  <c r="AP42" i="2" s="1"/>
  <c r="AI78" i="35"/>
  <c r="AI80" i="2" s="1"/>
  <c r="AI76" i="35"/>
  <c r="AI42" i="2" s="1"/>
  <c r="AI77" i="35"/>
  <c r="AI61" i="2" s="1"/>
  <c r="T45" i="33"/>
  <c r="T45" i="2" s="1"/>
  <c r="T46" i="33"/>
  <c r="T64" i="2" s="1"/>
  <c r="T47" i="33"/>
  <c r="T83" i="2" s="1"/>
  <c r="K78" i="35"/>
  <c r="K80" i="2" s="1"/>
  <c r="K77" i="35"/>
  <c r="K61" i="2" s="1"/>
  <c r="K76" i="35"/>
  <c r="K42" i="2" s="1"/>
  <c r="L98" i="29"/>
  <c r="L43" i="2" s="1"/>
  <c r="F13" i="33"/>
  <c r="G13" i="33" s="1"/>
  <c r="H13" i="33" s="1"/>
  <c r="I13" i="33" s="1"/>
  <c r="J13" i="33" s="1"/>
  <c r="K13" i="33" s="1"/>
  <c r="L13" i="33" s="1"/>
  <c r="M13" i="33" s="1"/>
  <c r="N13" i="33" s="1"/>
  <c r="O13" i="33" s="1"/>
  <c r="P13" i="33" s="1"/>
  <c r="Q13" i="33" s="1"/>
  <c r="R13" i="33" s="1"/>
  <c r="S13" i="33" s="1"/>
  <c r="T13" i="33" s="1"/>
  <c r="U13" i="33" s="1"/>
  <c r="V13" i="33" s="1"/>
  <c r="W13" i="33" s="1"/>
  <c r="X13" i="33" s="1"/>
  <c r="Y13" i="33" s="1"/>
  <c r="Z13" i="33" s="1"/>
  <c r="AA13" i="33" s="1"/>
  <c r="AB13" i="33" s="1"/>
  <c r="AC13" i="33" s="1"/>
  <c r="AD13" i="33" s="1"/>
  <c r="AE13" i="33" s="1"/>
  <c r="AF13" i="33" s="1"/>
  <c r="AG13" i="33" s="1"/>
  <c r="AH13" i="33" s="1"/>
  <c r="AI13" i="33" s="1"/>
  <c r="AJ13" i="33" s="1"/>
  <c r="AK13" i="33" s="1"/>
  <c r="AL13" i="33" s="1"/>
  <c r="AM13" i="33" s="1"/>
  <c r="AN13" i="33" s="1"/>
  <c r="AO13" i="33" s="1"/>
  <c r="AP13" i="33" s="1"/>
  <c r="AQ13" i="33" s="1"/>
  <c r="AR13" i="33" s="1"/>
  <c r="F45" i="33"/>
  <c r="F45" i="2" s="1"/>
  <c r="F46" i="33"/>
  <c r="F64" i="2" s="1"/>
  <c r="F47" i="33"/>
  <c r="F83" i="2" s="1"/>
  <c r="O45" i="33"/>
  <c r="O45" i="2" s="1"/>
  <c r="O46" i="33"/>
  <c r="O64" i="2" s="1"/>
  <c r="O47" i="33"/>
  <c r="O83" i="2" s="1"/>
  <c r="P45" i="33"/>
  <c r="P45" i="2" s="1"/>
  <c r="P46" i="33"/>
  <c r="P64" i="2" s="1"/>
  <c r="P47" i="33"/>
  <c r="P83" i="2" s="1"/>
  <c r="Y47" i="33"/>
  <c r="Y83" i="2" s="1"/>
  <c r="Y46" i="33"/>
  <c r="Y64" i="2" s="1"/>
  <c r="Y45" i="33"/>
  <c r="Y45" i="2" s="1"/>
  <c r="AH46" i="33"/>
  <c r="AH64" i="2" s="1"/>
  <c r="AH45" i="33"/>
  <c r="AH45" i="2" s="1"/>
  <c r="AH47" i="33"/>
  <c r="AH83" i="2" s="1"/>
  <c r="AQ45" i="33"/>
  <c r="AQ45" i="2" s="1"/>
  <c r="AQ46" i="33"/>
  <c r="AQ64" i="2" s="1"/>
  <c r="AQ47" i="33"/>
  <c r="AQ83" i="2" s="1"/>
  <c r="AA98" i="29"/>
  <c r="AA43" i="2" s="1"/>
  <c r="AA100" i="29"/>
  <c r="AA81" i="2" s="1"/>
  <c r="V78" i="35"/>
  <c r="V80" i="2" s="1"/>
  <c r="V76" i="35"/>
  <c r="V42" i="2" s="1"/>
  <c r="V77" i="35"/>
  <c r="V61" i="2" s="1"/>
  <c r="O77" i="35"/>
  <c r="O61" i="2" s="1"/>
  <c r="O76" i="35"/>
  <c r="O42" i="2" s="1"/>
  <c r="O78" i="35"/>
  <c r="O80" i="2" s="1"/>
  <c r="H77" i="35"/>
  <c r="H61" i="2" s="1"/>
  <c r="H78" i="35"/>
  <c r="H80" i="2" s="1"/>
  <c r="H76" i="35"/>
  <c r="H42" i="2" s="1"/>
  <c r="AQ76" i="35"/>
  <c r="AQ42" i="2" s="1"/>
  <c r="AQ78" i="35"/>
  <c r="AQ80" i="2" s="1"/>
  <c r="AQ77" i="35"/>
  <c r="AQ61" i="2" s="1"/>
  <c r="AC77" i="35"/>
  <c r="AC61" i="2" s="1"/>
  <c r="AC76" i="35"/>
  <c r="AC42" i="2" s="1"/>
  <c r="AC78" i="35"/>
  <c r="AC80" i="2" s="1"/>
  <c r="AI99" i="29"/>
  <c r="AI62" i="2" s="1"/>
  <c r="N45" i="33"/>
  <c r="N45" i="2" s="1"/>
  <c r="N47" i="33"/>
  <c r="N83" i="2" s="1"/>
  <c r="N46" i="33"/>
  <c r="N64" i="2" s="1"/>
  <c r="W46" i="33"/>
  <c r="W64" i="2" s="1"/>
  <c r="W47" i="33"/>
  <c r="W83" i="2" s="1"/>
  <c r="W45" i="33"/>
  <c r="W45" i="2" s="1"/>
  <c r="X45" i="33"/>
  <c r="X45" i="2" s="1"/>
  <c r="X47" i="33"/>
  <c r="X83" i="2" s="1"/>
  <c r="X46" i="33"/>
  <c r="X64" i="2" s="1"/>
  <c r="AG46" i="33"/>
  <c r="AG64" i="2" s="1"/>
  <c r="AG47" i="33"/>
  <c r="AG83" i="2" s="1"/>
  <c r="AG45" i="33"/>
  <c r="AG45" i="2" s="1"/>
  <c r="AP47" i="33"/>
  <c r="AP83" i="2" s="1"/>
  <c r="AP46" i="33"/>
  <c r="AP64" i="2" s="1"/>
  <c r="AP45" i="33"/>
  <c r="AP45" i="2" s="1"/>
  <c r="U99" i="29"/>
  <c r="U62" i="2" s="1"/>
  <c r="U100" i="29"/>
  <c r="U81" i="2" s="1"/>
  <c r="M45" i="33"/>
  <c r="M45" i="2" s="1"/>
  <c r="M46" i="33"/>
  <c r="M64" i="2" s="1"/>
  <c r="M47" i="33"/>
  <c r="M83" i="2" s="1"/>
  <c r="AD78" i="35"/>
  <c r="AD80" i="2" s="1"/>
  <c r="AD76" i="35"/>
  <c r="AD42" i="2" s="1"/>
  <c r="AD77" i="35"/>
  <c r="AD61" i="2" s="1"/>
  <c r="W78" i="35"/>
  <c r="W80" i="2" s="1"/>
  <c r="W76" i="35"/>
  <c r="W42" i="2" s="1"/>
  <c r="W77" i="35"/>
  <c r="W61" i="2" s="1"/>
  <c r="P78" i="35"/>
  <c r="P80" i="2" s="1"/>
  <c r="P76" i="35"/>
  <c r="P42" i="2" s="1"/>
  <c r="P77" i="35"/>
  <c r="P61" i="2" s="1"/>
  <c r="AN78" i="35"/>
  <c r="AN80" i="2" s="1"/>
  <c r="AN77" i="35"/>
  <c r="AN61" i="2" s="1"/>
  <c r="AN76" i="35"/>
  <c r="AN42" i="2" s="1"/>
  <c r="AI98" i="29"/>
  <c r="AI43" i="2" s="1"/>
  <c r="V45" i="33"/>
  <c r="V45" i="2" s="1"/>
  <c r="V46" i="33"/>
  <c r="V64" i="2" s="1"/>
  <c r="V47" i="33"/>
  <c r="V83" i="2" s="1"/>
  <c r="AE47" i="33"/>
  <c r="AE83" i="2" s="1"/>
  <c r="AE46" i="33"/>
  <c r="AE64" i="2" s="1"/>
  <c r="AE45" i="33"/>
  <c r="AE45" i="2" s="1"/>
  <c r="AF46" i="33"/>
  <c r="AF64" i="2" s="1"/>
  <c r="AF47" i="33"/>
  <c r="AF83" i="2" s="1"/>
  <c r="AF45" i="33"/>
  <c r="AF45" i="2" s="1"/>
  <c r="AO45" i="33"/>
  <c r="AO45" i="2" s="1"/>
  <c r="AO46" i="33"/>
  <c r="AO64" i="2" s="1"/>
  <c r="AO47" i="33"/>
  <c r="AO83" i="2" s="1"/>
  <c r="U45" i="33"/>
  <c r="U45" i="2" s="1"/>
  <c r="U46" i="33"/>
  <c r="U64" i="2" s="1"/>
  <c r="U47" i="33"/>
  <c r="U83" i="2" s="1"/>
  <c r="M78" i="35"/>
  <c r="M80" i="2" s="1"/>
  <c r="M77" i="35"/>
  <c r="M61" i="2" s="1"/>
  <c r="M76" i="35"/>
  <c r="M42" i="2" s="1"/>
  <c r="AL76" i="35"/>
  <c r="AL42" i="2" s="1"/>
  <c r="AL78" i="35"/>
  <c r="AL80" i="2" s="1"/>
  <c r="AL77" i="35"/>
  <c r="AL61" i="2" s="1"/>
  <c r="AE76" i="35"/>
  <c r="AE42" i="2" s="1"/>
  <c r="AE77" i="35"/>
  <c r="AE61" i="2" s="1"/>
  <c r="AE78" i="35"/>
  <c r="AE80" i="2" s="1"/>
  <c r="X78" i="35"/>
  <c r="X80" i="2" s="1"/>
  <c r="X76" i="35"/>
  <c r="X42" i="2" s="1"/>
  <c r="X77" i="35"/>
  <c r="X61" i="2" s="1"/>
  <c r="I78" i="35"/>
  <c r="I80" i="2" s="1"/>
  <c r="I77" i="35"/>
  <c r="I61" i="2" s="1"/>
  <c r="I76" i="35"/>
  <c r="I42" i="2" s="1"/>
  <c r="AR61" i="2"/>
  <c r="K99" i="29"/>
  <c r="K62" i="2" s="1"/>
  <c r="M99" i="29"/>
  <c r="M62" i="2" s="1"/>
  <c r="AK99" i="29"/>
  <c r="AK62" i="2" s="1"/>
  <c r="AD45" i="33"/>
  <c r="AD45" i="2" s="1"/>
  <c r="AD46" i="33"/>
  <c r="AD64" i="2" s="1"/>
  <c r="AD47" i="33"/>
  <c r="AD83" i="2" s="1"/>
  <c r="AM47" i="33"/>
  <c r="AM83" i="2" s="1"/>
  <c r="AM46" i="33"/>
  <c r="AM64" i="2" s="1"/>
  <c r="AM45" i="33"/>
  <c r="AM45" i="2" s="1"/>
  <c r="AN47" i="33"/>
  <c r="AN83" i="2" s="1"/>
  <c r="AN46" i="33"/>
  <c r="AN64" i="2" s="1"/>
  <c r="AN45" i="33"/>
  <c r="AN45" i="2" s="1"/>
  <c r="L45" i="33"/>
  <c r="L45" i="2" s="1"/>
  <c r="L47" i="33"/>
  <c r="L83" i="2" s="1"/>
  <c r="L46" i="33"/>
  <c r="L64" i="2" s="1"/>
  <c r="AC47" i="33"/>
  <c r="AC83" i="2" s="1"/>
  <c r="AC45" i="33"/>
  <c r="AC45" i="2" s="1"/>
  <c r="AC46" i="33"/>
  <c r="AC64" i="2" s="1"/>
  <c r="U76" i="35"/>
  <c r="U42" i="2" s="1"/>
  <c r="U77" i="35"/>
  <c r="U61" i="2" s="1"/>
  <c r="U78" i="35"/>
  <c r="U80" i="2" s="1"/>
  <c r="AM77" i="35"/>
  <c r="AM61" i="2" s="1"/>
  <c r="AM78" i="35"/>
  <c r="AM80" i="2" s="1"/>
  <c r="AM76" i="35"/>
  <c r="AM42" i="2" s="1"/>
  <c r="AF77" i="35"/>
  <c r="AF61" i="2" s="1"/>
  <c r="AF78" i="35"/>
  <c r="AF80" i="2" s="1"/>
  <c r="AF76" i="35"/>
  <c r="AF42" i="2" s="1"/>
  <c r="Q77" i="35"/>
  <c r="Q61" i="2" s="1"/>
  <c r="Q78" i="35"/>
  <c r="Q80" i="2" s="1"/>
  <c r="Q76" i="35"/>
  <c r="Q42" i="2" s="1"/>
  <c r="J76" i="35"/>
  <c r="J42" i="2" s="1"/>
  <c r="J77" i="35"/>
  <c r="J61" i="2" s="1"/>
  <c r="J78" i="35"/>
  <c r="J80" i="2" s="1"/>
  <c r="P68" i="2"/>
  <c r="P77" i="2"/>
  <c r="P87" i="2" s="1"/>
  <c r="Q39" i="2"/>
  <c r="Q58" i="2" s="1"/>
  <c r="P49" i="2"/>
  <c r="AA99" i="29"/>
  <c r="AA62" i="2" s="1"/>
  <c r="AC99" i="29"/>
  <c r="AC62" i="2" s="1"/>
  <c r="AL99" i="29"/>
  <c r="AL62" i="2" s="1"/>
  <c r="AL98" i="29"/>
  <c r="AL43" i="2" s="1"/>
  <c r="X98" i="29"/>
  <c r="X43" i="2" s="1"/>
  <c r="X99" i="29"/>
  <c r="X62" i="2" s="1"/>
  <c r="J99" i="29"/>
  <c r="J62" i="2" s="1"/>
  <c r="J98" i="29"/>
  <c r="J43" i="2" s="1"/>
  <c r="G98" i="29"/>
  <c r="G43" i="2" s="1"/>
  <c r="G99" i="29"/>
  <c r="G62" i="2" s="1"/>
  <c r="AF98" i="29"/>
  <c r="AF43" i="2" s="1"/>
  <c r="AF99" i="29"/>
  <c r="AF62" i="2" s="1"/>
  <c r="R99" i="29"/>
  <c r="R62" i="2" s="1"/>
  <c r="R98" i="29"/>
  <c r="R43" i="2" s="1"/>
  <c r="O99" i="29"/>
  <c r="O62" i="2" s="1"/>
  <c r="O98" i="29"/>
  <c r="O43" i="2" s="1"/>
  <c r="AN98" i="29"/>
  <c r="AN43" i="2" s="1"/>
  <c r="AN99" i="29"/>
  <c r="AN62" i="2" s="1"/>
  <c r="Z98" i="29"/>
  <c r="Z43" i="2" s="1"/>
  <c r="Z99" i="29"/>
  <c r="Z62" i="2" s="1"/>
  <c r="W99" i="29"/>
  <c r="W62" i="2" s="1"/>
  <c r="W98" i="29"/>
  <c r="W43" i="2" s="1"/>
  <c r="I99" i="29"/>
  <c r="I62" i="2" s="1"/>
  <c r="I98" i="29"/>
  <c r="I43" i="2" s="1"/>
  <c r="AH98" i="29"/>
  <c r="AH43" i="2" s="1"/>
  <c r="AH99" i="29"/>
  <c r="AH62" i="2" s="1"/>
  <c r="F13" i="29"/>
  <c r="G13" i="29" s="1"/>
  <c r="H13" i="29" s="1"/>
  <c r="I13" i="29" s="1"/>
  <c r="J13" i="29" s="1"/>
  <c r="K13" i="29" s="1"/>
  <c r="L13" i="29" s="1"/>
  <c r="M13" i="29" s="1"/>
  <c r="N13" i="29" s="1"/>
  <c r="O13" i="29" s="1"/>
  <c r="P13" i="29" s="1"/>
  <c r="Q13" i="29" s="1"/>
  <c r="R13" i="29" s="1"/>
  <c r="S13" i="29" s="1"/>
  <c r="T13" i="29" s="1"/>
  <c r="U13" i="29" s="1"/>
  <c r="V13" i="29" s="1"/>
  <c r="W13" i="29" s="1"/>
  <c r="X13" i="29" s="1"/>
  <c r="Y13" i="29" s="1"/>
  <c r="Z13" i="29" s="1"/>
  <c r="AA13" i="29" s="1"/>
  <c r="AB13" i="29" s="1"/>
  <c r="AC13" i="29" s="1"/>
  <c r="AD13" i="29" s="1"/>
  <c r="AE13" i="29" s="1"/>
  <c r="AF13" i="29" s="1"/>
  <c r="AG13" i="29" s="1"/>
  <c r="AH13" i="29" s="1"/>
  <c r="AI13" i="29" s="1"/>
  <c r="AJ13" i="29" s="1"/>
  <c r="AK13" i="29" s="1"/>
  <c r="AL13" i="29" s="1"/>
  <c r="AM13" i="29" s="1"/>
  <c r="AN13" i="29" s="1"/>
  <c r="AO13" i="29" s="1"/>
  <c r="AP13" i="29" s="1"/>
  <c r="AQ13" i="29" s="1"/>
  <c r="AR13" i="29" s="1"/>
  <c r="F98" i="29"/>
  <c r="F43" i="2" s="1"/>
  <c r="F99" i="29"/>
  <c r="F62" i="2" s="1"/>
  <c r="AE99" i="29"/>
  <c r="AE62" i="2" s="1"/>
  <c r="AE98" i="29"/>
  <c r="AE43" i="2" s="1"/>
  <c r="Q98" i="29"/>
  <c r="Q43" i="2" s="1"/>
  <c r="Q99" i="29"/>
  <c r="Q62" i="2" s="1"/>
  <c r="AP99" i="29"/>
  <c r="AP62" i="2" s="1"/>
  <c r="AP98" i="29"/>
  <c r="AP43" i="2" s="1"/>
  <c r="N99" i="29"/>
  <c r="N62" i="2" s="1"/>
  <c r="N98" i="29"/>
  <c r="N43" i="2" s="1"/>
  <c r="AM99" i="29"/>
  <c r="AM62" i="2" s="1"/>
  <c r="AM98" i="29"/>
  <c r="AM43" i="2" s="1"/>
  <c r="Y99" i="29"/>
  <c r="Y62" i="2" s="1"/>
  <c r="Y98" i="29"/>
  <c r="Y43" i="2" s="1"/>
  <c r="V99" i="29"/>
  <c r="V62" i="2" s="1"/>
  <c r="V98" i="29"/>
  <c r="V43" i="2" s="1"/>
  <c r="H98" i="29"/>
  <c r="H43" i="2" s="1"/>
  <c r="H99" i="29"/>
  <c r="H62" i="2" s="1"/>
  <c r="AG99" i="29"/>
  <c r="AG62" i="2" s="1"/>
  <c r="AG98" i="29"/>
  <c r="AG43" i="2" s="1"/>
  <c r="AD98" i="29"/>
  <c r="AD43" i="2" s="1"/>
  <c r="AD99" i="29"/>
  <c r="AD62" i="2" s="1"/>
  <c r="P98" i="29"/>
  <c r="P43" i="2" s="1"/>
  <c r="P99" i="29"/>
  <c r="P62" i="2" s="1"/>
  <c r="AO98" i="29"/>
  <c r="AO43" i="2" s="1"/>
  <c r="AO99" i="29"/>
  <c r="AO62" i="2" s="1"/>
  <c r="H79" i="24"/>
  <c r="H78" i="2" s="1"/>
  <c r="H77" i="24"/>
  <c r="H40" i="2" s="1"/>
  <c r="M30" i="21"/>
  <c r="G77" i="24"/>
  <c r="G40" i="2" s="1"/>
  <c r="G78" i="24"/>
  <c r="G59" i="2" s="1"/>
  <c r="N68" i="26"/>
  <c r="G13" i="28"/>
  <c r="H13" i="28" s="1"/>
  <c r="I13" i="28" s="1"/>
  <c r="J13" i="28" s="1"/>
  <c r="K13" i="28" s="1"/>
  <c r="L13" i="28" s="1"/>
  <c r="M13" i="28" s="1"/>
  <c r="N13" i="28" s="1"/>
  <c r="O13" i="28" s="1"/>
  <c r="P13" i="28" s="1"/>
  <c r="Q13" i="28" s="1"/>
  <c r="R13" i="28" s="1"/>
  <c r="S13" i="28" s="1"/>
  <c r="T13" i="28" s="1"/>
  <c r="U13" i="28" s="1"/>
  <c r="V13" i="28" s="1"/>
  <c r="W13" i="28" s="1"/>
  <c r="X13" i="28" s="1"/>
  <c r="Y13" i="28" s="1"/>
  <c r="Z13" i="28" s="1"/>
  <c r="AA13" i="28" s="1"/>
  <c r="AB13" i="28" s="1"/>
  <c r="AC13" i="28" s="1"/>
  <c r="AD13" i="28" s="1"/>
  <c r="AE13" i="28" s="1"/>
  <c r="AF13" i="28" s="1"/>
  <c r="AG13" i="28" s="1"/>
  <c r="AH13" i="28" s="1"/>
  <c r="AI13" i="28" s="1"/>
  <c r="AJ13" i="28" s="1"/>
  <c r="AK13" i="28" s="1"/>
  <c r="AL13" i="28" s="1"/>
  <c r="AM13" i="28" s="1"/>
  <c r="AN13" i="28" s="1"/>
  <c r="AO13" i="28" s="1"/>
  <c r="AP13" i="28" s="1"/>
  <c r="AQ13" i="28" s="1"/>
  <c r="AR13" i="28" s="1"/>
  <c r="G13" i="23"/>
  <c r="H13" i="23" s="1"/>
  <c r="I13" i="23" s="1"/>
  <c r="J13" i="23" s="1"/>
  <c r="K13" i="23" s="1"/>
  <c r="L13" i="23" s="1"/>
  <c r="M13" i="23" s="1"/>
  <c r="N13" i="23" s="1"/>
  <c r="O13" i="23" s="1"/>
  <c r="N26" i="22"/>
  <c r="N44" i="22" s="1"/>
  <c r="N16" i="21"/>
  <c r="N61" i="21" s="1"/>
  <c r="G13" i="26"/>
  <c r="H13" i="26" s="1"/>
  <c r="I13" i="26" s="1"/>
  <c r="J13" i="26" s="1"/>
  <c r="K13" i="26" s="1"/>
  <c r="L13" i="26" s="1"/>
  <c r="M13" i="26" s="1"/>
  <c r="N13" i="26" s="1"/>
  <c r="O13" i="26" s="1"/>
  <c r="P13" i="26" s="1"/>
  <c r="Q13" i="26" s="1"/>
  <c r="R13" i="26" s="1"/>
  <c r="S13" i="26" s="1"/>
  <c r="T13" i="26" s="1"/>
  <c r="U13" i="26" s="1"/>
  <c r="V13" i="26" s="1"/>
  <c r="W13" i="26" s="1"/>
  <c r="X13" i="26" s="1"/>
  <c r="Y13" i="26" s="1"/>
  <c r="Z13" i="26" s="1"/>
  <c r="AA13" i="26" s="1"/>
  <c r="AB13" i="26" s="1"/>
  <c r="AC13" i="26" s="1"/>
  <c r="AD13" i="26" s="1"/>
  <c r="AE13" i="26" s="1"/>
  <c r="AF13" i="26" s="1"/>
  <c r="AG13" i="26" s="1"/>
  <c r="AH13" i="26" s="1"/>
  <c r="AI13" i="26" s="1"/>
  <c r="AJ13" i="26" s="1"/>
  <c r="AK13" i="26" s="1"/>
  <c r="AL13" i="26" s="1"/>
  <c r="AM13" i="26" s="1"/>
  <c r="AN13" i="26" s="1"/>
  <c r="AO13" i="26" s="1"/>
  <c r="AP13" i="26" s="1"/>
  <c r="AQ13" i="26" s="1"/>
  <c r="AR13" i="26" s="1"/>
  <c r="K78" i="24"/>
  <c r="K59" i="2" s="1"/>
  <c r="K77" i="24"/>
  <c r="K40" i="2" s="1"/>
  <c r="K79" i="24"/>
  <c r="K78" i="2" s="1"/>
  <c r="F78" i="24"/>
  <c r="F59" i="2" s="1"/>
  <c r="J78" i="24"/>
  <c r="J59" i="2" s="1"/>
  <c r="J77" i="24"/>
  <c r="J40" i="2" s="1"/>
  <c r="F13" i="24"/>
  <c r="G13" i="24" s="1"/>
  <c r="H13" i="24" s="1"/>
  <c r="I13" i="24" s="1"/>
  <c r="J13" i="24" s="1"/>
  <c r="K13" i="24" s="1"/>
  <c r="L13" i="24" s="1"/>
  <c r="M13" i="24" s="1"/>
  <c r="N13" i="24" s="1"/>
  <c r="O13" i="24" s="1"/>
  <c r="P13" i="24" s="1"/>
  <c r="Q13" i="24" s="1"/>
  <c r="R13" i="24" s="1"/>
  <c r="S13" i="24" s="1"/>
  <c r="T13" i="24" s="1"/>
  <c r="U13" i="24" s="1"/>
  <c r="V13" i="24" s="1"/>
  <c r="W13" i="24" s="1"/>
  <c r="X13" i="24" s="1"/>
  <c r="Y13" i="24" s="1"/>
  <c r="Z13" i="24" s="1"/>
  <c r="AA13" i="24" s="1"/>
  <c r="AB13" i="24" s="1"/>
  <c r="AC13" i="24" s="1"/>
  <c r="AD13" i="24" s="1"/>
  <c r="AE13" i="24" s="1"/>
  <c r="AF13" i="24" s="1"/>
  <c r="AG13" i="24" s="1"/>
  <c r="AH13" i="24" s="1"/>
  <c r="AI13" i="24" s="1"/>
  <c r="AJ13" i="24" s="1"/>
  <c r="AK13" i="24" s="1"/>
  <c r="AL13" i="24" s="1"/>
  <c r="AM13" i="24" s="1"/>
  <c r="AN13" i="24" s="1"/>
  <c r="AO13" i="24" s="1"/>
  <c r="AP13" i="24" s="1"/>
  <c r="AQ13" i="24" s="1"/>
  <c r="AR13" i="24" s="1"/>
  <c r="F79" i="24"/>
  <c r="F78" i="2" s="1"/>
  <c r="F77" i="24"/>
  <c r="F40" i="2" s="1"/>
  <c r="I77" i="24"/>
  <c r="I40" i="2" s="1"/>
  <c r="I78" i="24"/>
  <c r="I59" i="2" s="1"/>
  <c r="I79" i="24"/>
  <c r="I78" i="2" s="1"/>
  <c r="L71" i="24"/>
  <c r="N52" i="24"/>
  <c r="J79" i="24"/>
  <c r="J78" i="2" s="1"/>
  <c r="P34" i="23"/>
  <c r="P36" i="23"/>
  <c r="P19" i="23"/>
  <c r="P24" i="23"/>
  <c r="P21" i="23"/>
  <c r="Q7" i="23"/>
  <c r="P9" i="23"/>
  <c r="P10" i="23"/>
  <c r="P11" i="23"/>
  <c r="O10" i="21"/>
  <c r="O17" i="21" s="1"/>
  <c r="O11" i="21"/>
  <c r="P22" i="22"/>
  <c r="P23" i="22" s="1"/>
  <c r="P10" i="22"/>
  <c r="N28" i="22"/>
  <c r="N46" i="22" s="1"/>
  <c r="J28" i="22"/>
  <c r="J46" i="22" s="1"/>
  <c r="J27" i="22"/>
  <c r="J45" i="22" s="1"/>
  <c r="J26" i="22"/>
  <c r="J44" i="22" s="1"/>
  <c r="M28" i="22"/>
  <c r="M46" i="22" s="1"/>
  <c r="I28" i="22"/>
  <c r="I46" i="22" s="1"/>
  <c r="I26" i="22"/>
  <c r="I44" i="22" s="1"/>
  <c r="I27" i="22"/>
  <c r="I45" i="22" s="1"/>
  <c r="H26" i="22"/>
  <c r="H44" i="22" s="1"/>
  <c r="H28" i="22"/>
  <c r="H46" i="22" s="1"/>
  <c r="H27" i="22"/>
  <c r="H45" i="22" s="1"/>
  <c r="M26" i="22"/>
  <c r="M44" i="22" s="1"/>
  <c r="G26" i="22"/>
  <c r="G44" i="22" s="1"/>
  <c r="G28" i="22"/>
  <c r="G46" i="22" s="1"/>
  <c r="G27" i="22"/>
  <c r="G45" i="22" s="1"/>
  <c r="F26" i="22"/>
  <c r="F44" i="22" s="1"/>
  <c r="F27" i="22"/>
  <c r="F45" i="22" s="1"/>
  <c r="F28" i="22"/>
  <c r="F46" i="22" s="1"/>
  <c r="L28" i="22"/>
  <c r="L46" i="22" s="1"/>
  <c r="L26" i="22"/>
  <c r="L44" i="22" s="1"/>
  <c r="L27" i="22"/>
  <c r="L45" i="22" s="1"/>
  <c r="K27" i="22"/>
  <c r="K45" i="22" s="1"/>
  <c r="K26" i="22"/>
  <c r="K44" i="22" s="1"/>
  <c r="K28" i="22"/>
  <c r="K46" i="22" s="1"/>
  <c r="K40" i="21"/>
  <c r="K72" i="21" s="1"/>
  <c r="K70" i="2" s="1"/>
  <c r="K39" i="21"/>
  <c r="K71" i="21" s="1"/>
  <c r="K51" i="2" s="1"/>
  <c r="K41" i="21"/>
  <c r="K73" i="21" s="1"/>
  <c r="K89" i="2" s="1"/>
  <c r="M36" i="21"/>
  <c r="L40" i="21"/>
  <c r="L72" i="21" s="1"/>
  <c r="L70" i="2" s="1"/>
  <c r="L41" i="21"/>
  <c r="L73" i="21" s="1"/>
  <c r="L89" i="2" s="1"/>
  <c r="L39" i="21"/>
  <c r="L71" i="21" s="1"/>
  <c r="L51" i="2" s="1"/>
  <c r="M61" i="21"/>
  <c r="M62" i="21"/>
  <c r="N49" i="21"/>
  <c r="N15" i="21"/>
  <c r="N30" i="21" s="1"/>
  <c r="N32" i="21"/>
  <c r="F33" i="22"/>
  <c r="F34" i="22" s="1"/>
  <c r="G13" i="22"/>
  <c r="G33" i="22" s="1"/>
  <c r="G34" i="22" s="1"/>
  <c r="O35" i="21"/>
  <c r="O27" i="21" s="1"/>
  <c r="O27" i="22"/>
  <c r="O45" i="22" s="1"/>
  <c r="O28" i="22"/>
  <c r="O46" i="22" s="1"/>
  <c r="O15" i="22"/>
  <c r="O26" i="22" s="1"/>
  <c r="O44" i="22" s="1"/>
  <c r="P11" i="22"/>
  <c r="P9" i="22"/>
  <c r="Q7" i="22"/>
  <c r="G13" i="21"/>
  <c r="P7" i="21"/>
  <c r="P57" i="21" s="1"/>
  <c r="O9" i="21"/>
  <c r="N43" i="23" l="1"/>
  <c r="N42" i="23"/>
  <c r="M52" i="24"/>
  <c r="M68" i="26"/>
  <c r="O22" i="24"/>
  <c r="O41" i="24" s="1"/>
  <c r="O29" i="23"/>
  <c r="O28" i="23"/>
  <c r="L72" i="24"/>
  <c r="L73" i="24" s="1"/>
  <c r="L78" i="24" s="1"/>
  <c r="L59" i="2" s="1"/>
  <c r="P27" i="23"/>
  <c r="P41" i="23" s="1"/>
  <c r="M45" i="24"/>
  <c r="M47" i="24" s="1"/>
  <c r="N40" i="24"/>
  <c r="N42" i="24" s="1"/>
  <c r="P46" i="21"/>
  <c r="P48" i="21"/>
  <c r="P45" i="21"/>
  <c r="P47" i="21"/>
  <c r="D81" i="2"/>
  <c r="E16" i="2" s="1"/>
  <c r="D45" i="2"/>
  <c r="C18" i="2" s="1"/>
  <c r="D62" i="2"/>
  <c r="D16" i="2" s="1"/>
  <c r="K35" i="10" s="1"/>
  <c r="D43" i="2"/>
  <c r="C16" i="2" s="1"/>
  <c r="D77" i="35"/>
  <c r="D61" i="2"/>
  <c r="D15" i="2" s="1"/>
  <c r="K34" i="10" s="1"/>
  <c r="D76" i="35"/>
  <c r="D42" i="2"/>
  <c r="C15" i="2" s="1"/>
  <c r="D78" i="35"/>
  <c r="D83" i="2"/>
  <c r="E18" i="2" s="1"/>
  <c r="D80" i="2"/>
  <c r="E15" i="2" s="1"/>
  <c r="D64" i="2"/>
  <c r="D18" i="2" s="1"/>
  <c r="K37" i="10" s="1"/>
  <c r="Q68" i="2"/>
  <c r="Q77" i="2"/>
  <c r="Q87" i="2" s="1"/>
  <c r="R39" i="2"/>
  <c r="R58" i="2" s="1"/>
  <c r="Q49" i="2"/>
  <c r="N31" i="21"/>
  <c r="N67" i="24"/>
  <c r="N72" i="24" s="1"/>
  <c r="N66" i="24"/>
  <c r="P13" i="23"/>
  <c r="Q34" i="23"/>
  <c r="Q36" i="23"/>
  <c r="Q19" i="23"/>
  <c r="Q24" i="23"/>
  <c r="Q21" i="23"/>
  <c r="Q10" i="23"/>
  <c r="R7" i="23"/>
  <c r="Q11" i="23"/>
  <c r="Q9" i="23"/>
  <c r="O16" i="21"/>
  <c r="O61" i="21" s="1"/>
  <c r="P10" i="21"/>
  <c r="P16" i="21" s="1"/>
  <c r="P11" i="21"/>
  <c r="Q22" i="22"/>
  <c r="Q23" i="22" s="1"/>
  <c r="Q10" i="22"/>
  <c r="P16" i="22"/>
  <c r="P27" i="22" s="1"/>
  <c r="P45" i="22" s="1"/>
  <c r="P17" i="22"/>
  <c r="P28" i="22" s="1"/>
  <c r="P46" i="22" s="1"/>
  <c r="M39" i="21"/>
  <c r="M71" i="21" s="1"/>
  <c r="M51" i="2" s="1"/>
  <c r="M41" i="21"/>
  <c r="M73" i="21" s="1"/>
  <c r="M89" i="2" s="1"/>
  <c r="M40" i="21"/>
  <c r="M72" i="21" s="1"/>
  <c r="M70" i="2" s="1"/>
  <c r="N36" i="21"/>
  <c r="N62" i="21"/>
  <c r="O62" i="21"/>
  <c r="N60" i="21"/>
  <c r="O49" i="21"/>
  <c r="F39" i="22"/>
  <c r="F40" i="22"/>
  <c r="F38" i="22"/>
  <c r="H13" i="22"/>
  <c r="H33" i="22" s="1"/>
  <c r="H34" i="22" s="1"/>
  <c r="G39" i="22"/>
  <c r="G40" i="22"/>
  <c r="G38" i="22"/>
  <c r="Q9" i="22"/>
  <c r="R7" i="22"/>
  <c r="Q11" i="22"/>
  <c r="P15" i="22"/>
  <c r="P26" i="22" s="1"/>
  <c r="P44" i="22" s="1"/>
  <c r="H13" i="21"/>
  <c r="Q7" i="21"/>
  <c r="Q57" i="21" s="1"/>
  <c r="P9" i="21"/>
  <c r="P35" i="21"/>
  <c r="P27" i="21" s="1"/>
  <c r="O15" i="21"/>
  <c r="O60" i="21" s="1"/>
  <c r="O32" i="21"/>
  <c r="L35" i="10" l="1"/>
  <c r="F7" i="10"/>
  <c r="L34" i="10"/>
  <c r="F6" i="10"/>
  <c r="L37" i="10"/>
  <c r="F9" i="10"/>
  <c r="J34" i="10"/>
  <c r="J35" i="10"/>
  <c r="J37" i="10"/>
  <c r="O43" i="23"/>
  <c r="O40" i="24"/>
  <c r="O42" i="24" s="1"/>
  <c r="O52" i="24"/>
  <c r="O67" i="24" s="1"/>
  <c r="O42" i="23"/>
  <c r="P29" i="23"/>
  <c r="P28" i="23"/>
  <c r="M67" i="24"/>
  <c r="M72" i="24" s="1"/>
  <c r="M66" i="24"/>
  <c r="O68" i="26"/>
  <c r="N45" i="24"/>
  <c r="N47" i="24" s="1"/>
  <c r="P22" i="24"/>
  <c r="P40" i="24" s="1"/>
  <c r="Q27" i="23"/>
  <c r="Q41" i="23" s="1"/>
  <c r="Q46" i="21"/>
  <c r="Q45" i="21"/>
  <c r="Q47" i="21"/>
  <c r="Q48" i="21"/>
  <c r="L79" i="24"/>
  <c r="L78" i="2" s="1"/>
  <c r="R68" i="2"/>
  <c r="R77" i="2"/>
  <c r="R87" i="2" s="1"/>
  <c r="S39" i="2"/>
  <c r="S58" i="2" s="1"/>
  <c r="R49" i="2"/>
  <c r="P17" i="21"/>
  <c r="P32" i="21" s="1"/>
  <c r="P68" i="26"/>
  <c r="Q13" i="23"/>
  <c r="P52" i="24"/>
  <c r="O46" i="24"/>
  <c r="N71" i="24"/>
  <c r="N68" i="24"/>
  <c r="L77" i="24"/>
  <c r="L40" i="2" s="1"/>
  <c r="R34" i="23"/>
  <c r="R36" i="23"/>
  <c r="R19" i="23"/>
  <c r="R24" i="23"/>
  <c r="R21" i="23"/>
  <c r="R9" i="23"/>
  <c r="S7" i="23"/>
  <c r="R10" i="23"/>
  <c r="R11" i="23"/>
  <c r="Q10" i="21"/>
  <c r="Q16" i="21" s="1"/>
  <c r="Q11" i="21"/>
  <c r="R22" i="22"/>
  <c r="R23" i="22" s="1"/>
  <c r="R10" i="22"/>
  <c r="Q16" i="22"/>
  <c r="Q27" i="22" s="1"/>
  <c r="Q45" i="22" s="1"/>
  <c r="Q17" i="22"/>
  <c r="Q28" i="22" s="1"/>
  <c r="Q46" i="22" s="1"/>
  <c r="O36" i="21"/>
  <c r="N39" i="21"/>
  <c r="N71" i="21" s="1"/>
  <c r="N51" i="2" s="1"/>
  <c r="N40" i="21"/>
  <c r="N72" i="21" s="1"/>
  <c r="N70" i="2" s="1"/>
  <c r="N41" i="21"/>
  <c r="N73" i="21" s="1"/>
  <c r="N89" i="2" s="1"/>
  <c r="P61" i="21"/>
  <c r="P49" i="21"/>
  <c r="I13" i="22"/>
  <c r="I33" i="22" s="1"/>
  <c r="I34" i="22" s="1"/>
  <c r="H39" i="22"/>
  <c r="H40" i="22"/>
  <c r="H38" i="22"/>
  <c r="R11" i="22"/>
  <c r="S7" i="22"/>
  <c r="R9" i="22"/>
  <c r="Q15" i="22"/>
  <c r="Q26" i="22" s="1"/>
  <c r="Q44" i="22" s="1"/>
  <c r="Q9" i="21"/>
  <c r="Q35" i="21"/>
  <c r="Q27" i="21" s="1"/>
  <c r="R7" i="21"/>
  <c r="R57" i="21" s="1"/>
  <c r="I13" i="21"/>
  <c r="P31" i="21"/>
  <c r="P15" i="21"/>
  <c r="P60" i="21" s="1"/>
  <c r="O30" i="21"/>
  <c r="O31" i="21"/>
  <c r="O45" i="24" l="1"/>
  <c r="O47" i="24" s="1"/>
  <c r="O66" i="24"/>
  <c r="O71" i="24" s="1"/>
  <c r="P42" i="23"/>
  <c r="P43" i="23"/>
  <c r="M71" i="24"/>
  <c r="M73" i="24" s="1"/>
  <c r="M68" i="24"/>
  <c r="Q28" i="23"/>
  <c r="Q29" i="23"/>
  <c r="R27" i="23"/>
  <c r="R41" i="23" s="1"/>
  <c r="Q22" i="24"/>
  <c r="Q40" i="24" s="1"/>
  <c r="P41" i="24"/>
  <c r="P46" i="24" s="1"/>
  <c r="Q15" i="21"/>
  <c r="Q30" i="21" s="1"/>
  <c r="R46" i="21"/>
  <c r="R45" i="21"/>
  <c r="R47" i="21"/>
  <c r="R48" i="21"/>
  <c r="S68" i="2"/>
  <c r="S77" i="2"/>
  <c r="S87" i="2" s="1"/>
  <c r="T39" i="2"/>
  <c r="T58" i="2" s="1"/>
  <c r="S49" i="2"/>
  <c r="R13" i="23"/>
  <c r="Q68" i="26"/>
  <c r="P45" i="24"/>
  <c r="Q52" i="24"/>
  <c r="P67" i="24"/>
  <c r="P72" i="24" s="1"/>
  <c r="P66" i="24"/>
  <c r="N73" i="24"/>
  <c r="N79" i="24" s="1"/>
  <c r="N78" i="2" s="1"/>
  <c r="O72" i="24"/>
  <c r="S34" i="23"/>
  <c r="S36" i="23"/>
  <c r="S19" i="23"/>
  <c r="S24" i="23"/>
  <c r="S21" i="23"/>
  <c r="S10" i="23"/>
  <c r="S11" i="23"/>
  <c r="S9" i="23"/>
  <c r="T7" i="23"/>
  <c r="Q17" i="21"/>
  <c r="Q32" i="21" s="1"/>
  <c r="R10" i="21"/>
  <c r="R15" i="21" s="1"/>
  <c r="R11" i="21"/>
  <c r="S22" i="22"/>
  <c r="S23" i="22" s="1"/>
  <c r="S10" i="22"/>
  <c r="R17" i="22"/>
  <c r="R28" i="22" s="1"/>
  <c r="R46" i="22" s="1"/>
  <c r="R16" i="22"/>
  <c r="R27" i="22" s="1"/>
  <c r="R45" i="22" s="1"/>
  <c r="J13" i="22"/>
  <c r="J33" i="22" s="1"/>
  <c r="J34" i="22" s="1"/>
  <c r="P36" i="21"/>
  <c r="O39" i="21"/>
  <c r="O71" i="21" s="1"/>
  <c r="O51" i="2" s="1"/>
  <c r="O40" i="21"/>
  <c r="O72" i="21" s="1"/>
  <c r="O70" i="2" s="1"/>
  <c r="O41" i="21"/>
  <c r="O73" i="21" s="1"/>
  <c r="O89" i="2" s="1"/>
  <c r="P62" i="21"/>
  <c r="Q49" i="21"/>
  <c r="I40" i="22"/>
  <c r="I39" i="22"/>
  <c r="I38" i="22"/>
  <c r="R35" i="21"/>
  <c r="R27" i="21" s="1"/>
  <c r="R15" i="22"/>
  <c r="R26" i="22" s="1"/>
  <c r="R44" i="22" s="1"/>
  <c r="S9" i="22"/>
  <c r="T7" i="22"/>
  <c r="S11" i="22"/>
  <c r="Q31" i="21"/>
  <c r="S7" i="21"/>
  <c r="S57" i="21" s="1"/>
  <c r="R9" i="21"/>
  <c r="J13" i="21"/>
  <c r="P30" i="21"/>
  <c r="Q60" i="21" l="1"/>
  <c r="O68" i="24"/>
  <c r="Q42" i="23"/>
  <c r="Q43" i="23"/>
  <c r="R22" i="24"/>
  <c r="R41" i="24" s="1"/>
  <c r="R46" i="24" s="1"/>
  <c r="R29" i="23"/>
  <c r="R28" i="23"/>
  <c r="M78" i="24"/>
  <c r="M59" i="2" s="1"/>
  <c r="M77" i="24"/>
  <c r="M40" i="2" s="1"/>
  <c r="M79" i="24"/>
  <c r="M78" i="2" s="1"/>
  <c r="S27" i="23"/>
  <c r="S41" i="23" s="1"/>
  <c r="Q41" i="24"/>
  <c r="Q46" i="24" s="1"/>
  <c r="P42" i="24"/>
  <c r="S46" i="21"/>
  <c r="S45" i="21"/>
  <c r="S47" i="21"/>
  <c r="S48" i="21"/>
  <c r="S13" i="23"/>
  <c r="T68" i="2"/>
  <c r="T77" i="2"/>
  <c r="T87" i="2" s="1"/>
  <c r="U39" i="2"/>
  <c r="U58" i="2" s="1"/>
  <c r="T49" i="2"/>
  <c r="R16" i="21"/>
  <c r="R31" i="21" s="1"/>
  <c r="R17" i="21"/>
  <c r="R32" i="21" s="1"/>
  <c r="O73" i="24"/>
  <c r="O79" i="24" s="1"/>
  <c r="O78" i="2" s="1"/>
  <c r="N78" i="24"/>
  <c r="N59" i="2" s="1"/>
  <c r="P68" i="24"/>
  <c r="P71" i="24"/>
  <c r="P73" i="24" s="1"/>
  <c r="N77" i="24"/>
  <c r="N40" i="2" s="1"/>
  <c r="Q45" i="24"/>
  <c r="Q66" i="24"/>
  <c r="Q67" i="24"/>
  <c r="Q72" i="24" s="1"/>
  <c r="P47" i="24"/>
  <c r="T34" i="23"/>
  <c r="T36" i="23"/>
  <c r="T19" i="23"/>
  <c r="T24" i="23"/>
  <c r="T21" i="23"/>
  <c r="U7" i="23"/>
  <c r="T9" i="23"/>
  <c r="T10" i="23"/>
  <c r="T11" i="23"/>
  <c r="S10" i="21"/>
  <c r="S16" i="21" s="1"/>
  <c r="S11" i="21"/>
  <c r="K13" i="22"/>
  <c r="K33" i="22" s="1"/>
  <c r="K34" i="22" s="1"/>
  <c r="T22" i="22"/>
  <c r="T23" i="22" s="1"/>
  <c r="T10" i="22"/>
  <c r="S17" i="22"/>
  <c r="S28" i="22" s="1"/>
  <c r="S46" i="22" s="1"/>
  <c r="S16" i="22"/>
  <c r="S27" i="22" s="1"/>
  <c r="S45" i="22" s="1"/>
  <c r="Q36" i="21"/>
  <c r="P40" i="21"/>
  <c r="P72" i="21" s="1"/>
  <c r="P70" i="2" s="1"/>
  <c r="P41" i="21"/>
  <c r="P73" i="21" s="1"/>
  <c r="P89" i="2" s="1"/>
  <c r="P39" i="21"/>
  <c r="P71" i="21" s="1"/>
  <c r="P51" i="2" s="1"/>
  <c r="Q62" i="21"/>
  <c r="Q61" i="21"/>
  <c r="R60" i="21"/>
  <c r="R49" i="21"/>
  <c r="J40" i="22"/>
  <c r="J38" i="22"/>
  <c r="J39" i="22"/>
  <c r="S15" i="22"/>
  <c r="S26" i="22" s="1"/>
  <c r="S44" i="22" s="1"/>
  <c r="T11" i="22"/>
  <c r="T9" i="22"/>
  <c r="U7" i="22"/>
  <c r="S9" i="21"/>
  <c r="T7" i="21"/>
  <c r="T57" i="21" s="1"/>
  <c r="S35" i="21"/>
  <c r="S27" i="21" s="1"/>
  <c r="K13" i="21"/>
  <c r="R30" i="21"/>
  <c r="R40" i="24" l="1"/>
  <c r="R45" i="24" s="1"/>
  <c r="R47" i="24" s="1"/>
  <c r="R43" i="23"/>
  <c r="R68" i="26"/>
  <c r="R42" i="23"/>
  <c r="S22" i="24"/>
  <c r="S40" i="24" s="1"/>
  <c r="S29" i="23"/>
  <c r="S28" i="23"/>
  <c r="T27" i="23"/>
  <c r="T41" i="23" s="1"/>
  <c r="Q42" i="24"/>
  <c r="R52" i="24"/>
  <c r="R66" i="24" s="1"/>
  <c r="T13" i="23"/>
  <c r="T45" i="21"/>
  <c r="T47" i="21"/>
  <c r="T48" i="21"/>
  <c r="T46" i="21"/>
  <c r="U68" i="2"/>
  <c r="U77" i="2"/>
  <c r="U87" i="2" s="1"/>
  <c r="V39" i="2"/>
  <c r="V58" i="2" s="1"/>
  <c r="U49" i="2"/>
  <c r="O78" i="24"/>
  <c r="O59" i="2" s="1"/>
  <c r="O77" i="24"/>
  <c r="O40" i="2" s="1"/>
  <c r="P78" i="24"/>
  <c r="P59" i="2" s="1"/>
  <c r="Q47" i="24"/>
  <c r="Q71" i="24"/>
  <c r="Q68" i="24"/>
  <c r="S17" i="21"/>
  <c r="S32" i="21" s="1"/>
  <c r="S52" i="24"/>
  <c r="P77" i="24"/>
  <c r="P40" i="2" s="1"/>
  <c r="P79" i="24"/>
  <c r="P78" i="2" s="1"/>
  <c r="U34" i="23"/>
  <c r="U36" i="23"/>
  <c r="U19" i="23"/>
  <c r="U24" i="23"/>
  <c r="U21" i="23"/>
  <c r="V7" i="23"/>
  <c r="U9" i="23"/>
  <c r="U10" i="23"/>
  <c r="U11" i="23"/>
  <c r="T10" i="21"/>
  <c r="T17" i="21" s="1"/>
  <c r="T11" i="21"/>
  <c r="U22" i="22"/>
  <c r="U23" i="22" s="1"/>
  <c r="U10" i="22"/>
  <c r="L13" i="22"/>
  <c r="L33" i="22" s="1"/>
  <c r="L34" i="22" s="1"/>
  <c r="T17" i="22"/>
  <c r="T28" i="22" s="1"/>
  <c r="T46" i="22" s="1"/>
  <c r="T16" i="22"/>
  <c r="T27" i="22" s="1"/>
  <c r="T45" i="22" s="1"/>
  <c r="R36" i="21"/>
  <c r="Q41" i="21"/>
  <c r="Q73" i="21" s="1"/>
  <c r="Q89" i="2" s="1"/>
  <c r="Q39" i="21"/>
  <c r="Q71" i="21" s="1"/>
  <c r="Q51" i="2" s="1"/>
  <c r="Q40" i="21"/>
  <c r="Q72" i="21" s="1"/>
  <c r="Q70" i="2" s="1"/>
  <c r="R61" i="21"/>
  <c r="S61" i="21"/>
  <c r="R62" i="21"/>
  <c r="S49" i="21"/>
  <c r="K38" i="22"/>
  <c r="K40" i="22"/>
  <c r="K39" i="22"/>
  <c r="T9" i="21"/>
  <c r="U9" i="22"/>
  <c r="V7" i="22"/>
  <c r="U11" i="22"/>
  <c r="T15" i="22"/>
  <c r="T26" i="22" s="1"/>
  <c r="T44" i="22" s="1"/>
  <c r="S15" i="21"/>
  <c r="S30" i="21" s="1"/>
  <c r="T35" i="21"/>
  <c r="T27" i="21" s="1"/>
  <c r="S31" i="21"/>
  <c r="U7" i="21"/>
  <c r="U57" i="21" s="1"/>
  <c r="L13" i="21"/>
  <c r="R42" i="24" l="1"/>
  <c r="S43" i="23"/>
  <c r="T22" i="24"/>
  <c r="T40" i="24" s="1"/>
  <c r="S68" i="26"/>
  <c r="S42" i="23"/>
  <c r="S41" i="24"/>
  <c r="S46" i="24" s="1"/>
  <c r="U27" i="23"/>
  <c r="U41" i="23" s="1"/>
  <c r="T29" i="23"/>
  <c r="T28" i="23"/>
  <c r="U13" i="23"/>
  <c r="T68" i="26"/>
  <c r="R67" i="24"/>
  <c r="R72" i="24" s="1"/>
  <c r="M13" i="22"/>
  <c r="M33" i="22" s="1"/>
  <c r="M34" i="22" s="1"/>
  <c r="U47" i="21"/>
  <c r="U48" i="21"/>
  <c r="U46" i="21"/>
  <c r="U45" i="21"/>
  <c r="V68" i="2"/>
  <c r="V77" i="2"/>
  <c r="V87" i="2" s="1"/>
  <c r="W39" i="2"/>
  <c r="W58" i="2" s="1"/>
  <c r="V49" i="2"/>
  <c r="Q73" i="24"/>
  <c r="S67" i="24"/>
  <c r="S72" i="24" s="1"/>
  <c r="S66" i="24"/>
  <c r="S45" i="24"/>
  <c r="T16" i="21"/>
  <c r="T31" i="21" s="1"/>
  <c r="T41" i="24"/>
  <c r="T46" i="24" s="1"/>
  <c r="R71" i="24"/>
  <c r="V34" i="23"/>
  <c r="V36" i="23"/>
  <c r="V19" i="23"/>
  <c r="V24" i="23"/>
  <c r="V21" i="23"/>
  <c r="V10" i="23"/>
  <c r="V9" i="23"/>
  <c r="V11" i="23"/>
  <c r="W7" i="23"/>
  <c r="U10" i="21"/>
  <c r="U17" i="21" s="1"/>
  <c r="U11" i="21"/>
  <c r="V22" i="22"/>
  <c r="V23" i="22" s="1"/>
  <c r="V10" i="22"/>
  <c r="U16" i="22"/>
  <c r="U27" i="22" s="1"/>
  <c r="U45" i="22" s="1"/>
  <c r="U17" i="22"/>
  <c r="U28" i="22" s="1"/>
  <c r="U46" i="22" s="1"/>
  <c r="S36" i="21"/>
  <c r="R40" i="21"/>
  <c r="R72" i="21" s="1"/>
  <c r="R70" i="2" s="1"/>
  <c r="R41" i="21"/>
  <c r="R73" i="21" s="1"/>
  <c r="R89" i="2" s="1"/>
  <c r="R39" i="21"/>
  <c r="R71" i="21" s="1"/>
  <c r="R51" i="2" s="1"/>
  <c r="S62" i="21"/>
  <c r="T62" i="21"/>
  <c r="S60" i="21"/>
  <c r="T49" i="21"/>
  <c r="L38" i="22"/>
  <c r="L39" i="22"/>
  <c r="L40" i="22"/>
  <c r="T15" i="21"/>
  <c r="T30" i="21" s="1"/>
  <c r="U35" i="21"/>
  <c r="U27" i="21" s="1"/>
  <c r="V11" i="22"/>
  <c r="W7" i="22"/>
  <c r="V9" i="22"/>
  <c r="U15" i="22"/>
  <c r="U26" i="22" s="1"/>
  <c r="U44" i="22" s="1"/>
  <c r="T32" i="21"/>
  <c r="U9" i="21"/>
  <c r="V7" i="21"/>
  <c r="V57" i="21" s="1"/>
  <c r="M13" i="21"/>
  <c r="U22" i="24" l="1"/>
  <c r="U41" i="24" s="1"/>
  <c r="U46" i="24" s="1"/>
  <c r="S42" i="24"/>
  <c r="T42" i="23"/>
  <c r="T43" i="23"/>
  <c r="N13" i="22"/>
  <c r="N33" i="22" s="1"/>
  <c r="N34" i="22" s="1"/>
  <c r="S47" i="24"/>
  <c r="V13" i="23"/>
  <c r="V27" i="23"/>
  <c r="V41" i="23" s="1"/>
  <c r="U28" i="23"/>
  <c r="U29" i="23"/>
  <c r="T52" i="24"/>
  <c r="T66" i="24" s="1"/>
  <c r="R73" i="24"/>
  <c r="R79" i="24" s="1"/>
  <c r="R78" i="2" s="1"/>
  <c r="R68" i="24"/>
  <c r="V48" i="21"/>
  <c r="V47" i="21"/>
  <c r="V46" i="21"/>
  <c r="V45" i="21"/>
  <c r="U16" i="21"/>
  <c r="U61" i="21" s="1"/>
  <c r="W68" i="2"/>
  <c r="W77" i="2"/>
  <c r="W87" i="2" s="1"/>
  <c r="X39" i="2"/>
  <c r="X58" i="2" s="1"/>
  <c r="W49" i="2"/>
  <c r="U52" i="24"/>
  <c r="T42" i="24"/>
  <c r="T45" i="24"/>
  <c r="T47" i="24" s="1"/>
  <c r="Q78" i="24"/>
  <c r="Q59" i="2" s="1"/>
  <c r="Q77" i="24"/>
  <c r="Q40" i="2" s="1"/>
  <c r="Q79" i="24"/>
  <c r="Q78" i="2" s="1"/>
  <c r="S68" i="24"/>
  <c r="S71" i="24"/>
  <c r="S73" i="24" s="1"/>
  <c r="W34" i="23"/>
  <c r="W36" i="23"/>
  <c r="W19" i="23"/>
  <c r="W24" i="23"/>
  <c r="W21" i="23"/>
  <c r="W9" i="23"/>
  <c r="W11" i="23"/>
  <c r="W10" i="23"/>
  <c r="X7" i="23"/>
  <c r="V10" i="21"/>
  <c r="V16" i="21" s="1"/>
  <c r="V11" i="21"/>
  <c r="W22" i="22"/>
  <c r="W23" i="22" s="1"/>
  <c r="W10" i="22"/>
  <c r="V16" i="22"/>
  <c r="V27" i="22" s="1"/>
  <c r="V45" i="22" s="1"/>
  <c r="V17" i="22"/>
  <c r="V28" i="22" s="1"/>
  <c r="V46" i="22" s="1"/>
  <c r="T36" i="21"/>
  <c r="S39" i="21"/>
  <c r="S71" i="21" s="1"/>
  <c r="S51" i="2" s="1"/>
  <c r="S40" i="21"/>
  <c r="S72" i="21" s="1"/>
  <c r="S70" i="2" s="1"/>
  <c r="S41" i="21"/>
  <c r="S73" i="21" s="1"/>
  <c r="S89" i="2" s="1"/>
  <c r="T60" i="21"/>
  <c r="T61" i="21"/>
  <c r="U49" i="21"/>
  <c r="M38" i="22"/>
  <c r="M39" i="22"/>
  <c r="M40" i="22"/>
  <c r="V9" i="21"/>
  <c r="V35" i="21"/>
  <c r="V27" i="21" s="1"/>
  <c r="W11" i="22"/>
  <c r="W9" i="22"/>
  <c r="X7" i="22"/>
  <c r="V15" i="22"/>
  <c r="V26" i="22" s="1"/>
  <c r="V44" i="22" s="1"/>
  <c r="W7" i="21"/>
  <c r="W57" i="21" s="1"/>
  <c r="U32" i="21"/>
  <c r="U15" i="21"/>
  <c r="U30" i="21" s="1"/>
  <c r="N13" i="21"/>
  <c r="U40" i="24" l="1"/>
  <c r="U45" i="24" s="1"/>
  <c r="U47" i="24" s="1"/>
  <c r="O13" i="22"/>
  <c r="O33" i="22" s="1"/>
  <c r="O34" i="22" s="1"/>
  <c r="U43" i="23"/>
  <c r="V22" i="24"/>
  <c r="V41" i="24" s="1"/>
  <c r="V46" i="24" s="1"/>
  <c r="W13" i="23"/>
  <c r="W27" i="23"/>
  <c r="W41" i="23" s="1"/>
  <c r="S77" i="24"/>
  <c r="S40" i="2" s="1"/>
  <c r="V28" i="23"/>
  <c r="V29" i="23"/>
  <c r="U68" i="26"/>
  <c r="U42" i="23"/>
  <c r="T67" i="24"/>
  <c r="T72" i="24" s="1"/>
  <c r="R78" i="24"/>
  <c r="R59" i="2" s="1"/>
  <c r="R77" i="24"/>
  <c r="R40" i="2" s="1"/>
  <c r="W48" i="21"/>
  <c r="W46" i="21"/>
  <c r="W45" i="21"/>
  <c r="W47" i="21"/>
  <c r="U31" i="21"/>
  <c r="X68" i="2"/>
  <c r="X77" i="2"/>
  <c r="X87" i="2" s="1"/>
  <c r="Y39" i="2"/>
  <c r="Y58" i="2" s="1"/>
  <c r="X49" i="2"/>
  <c r="S79" i="24"/>
  <c r="S78" i="2" s="1"/>
  <c r="S78" i="24"/>
  <c r="S59" i="2" s="1"/>
  <c r="V68" i="26"/>
  <c r="V17" i="21"/>
  <c r="V32" i="21" s="1"/>
  <c r="U67" i="24"/>
  <c r="U72" i="24" s="1"/>
  <c r="U66" i="24"/>
  <c r="T71" i="24"/>
  <c r="V15" i="21"/>
  <c r="V30" i="21" s="1"/>
  <c r="V52" i="24"/>
  <c r="X34" i="23"/>
  <c r="X36" i="23"/>
  <c r="X19" i="23"/>
  <c r="X24" i="23"/>
  <c r="X21" i="23"/>
  <c r="Y7" i="23"/>
  <c r="X11" i="23"/>
  <c r="X10" i="23"/>
  <c r="X9" i="23"/>
  <c r="W10" i="21"/>
  <c r="W16" i="21" s="1"/>
  <c r="W11" i="21"/>
  <c r="W16" i="22"/>
  <c r="W27" i="22" s="1"/>
  <c r="W45" i="22" s="1"/>
  <c r="W17" i="22"/>
  <c r="W28" i="22" s="1"/>
  <c r="W46" i="22" s="1"/>
  <c r="X22" i="22"/>
  <c r="X23" i="22" s="1"/>
  <c r="X10" i="22"/>
  <c r="U36" i="21"/>
  <c r="T41" i="21"/>
  <c r="T73" i="21" s="1"/>
  <c r="T89" i="2" s="1"/>
  <c r="T39" i="21"/>
  <c r="T71" i="21" s="1"/>
  <c r="T51" i="2" s="1"/>
  <c r="T40" i="21"/>
  <c r="T72" i="21" s="1"/>
  <c r="T70" i="2" s="1"/>
  <c r="V61" i="21"/>
  <c r="U62" i="21"/>
  <c r="U60" i="21"/>
  <c r="V49" i="21"/>
  <c r="N38" i="22"/>
  <c r="N39" i="22"/>
  <c r="N40" i="22"/>
  <c r="W35" i="21"/>
  <c r="W27" i="21" s="1"/>
  <c r="X7" i="21"/>
  <c r="X57" i="21" s="1"/>
  <c r="W9" i="21"/>
  <c r="Y7" i="22"/>
  <c r="X9" i="22"/>
  <c r="X11" i="22"/>
  <c r="W15" i="22"/>
  <c r="W26" i="22" s="1"/>
  <c r="W44" i="22" s="1"/>
  <c r="O13" i="21"/>
  <c r="V31" i="21"/>
  <c r="P13" i="22" l="1"/>
  <c r="P33" i="22" s="1"/>
  <c r="P34" i="22" s="1"/>
  <c r="U42" i="24"/>
  <c r="X27" i="23"/>
  <c r="X41" i="23" s="1"/>
  <c r="V42" i="23"/>
  <c r="V43" i="23"/>
  <c r="V40" i="24"/>
  <c r="V42" i="24" s="1"/>
  <c r="X13" i="23"/>
  <c r="W22" i="24"/>
  <c r="W41" i="24" s="1"/>
  <c r="W46" i="24" s="1"/>
  <c r="W29" i="23"/>
  <c r="W28" i="23"/>
  <c r="T73" i="24"/>
  <c r="T79" i="24" s="1"/>
  <c r="T78" i="2" s="1"/>
  <c r="T68" i="24"/>
  <c r="X46" i="21"/>
  <c r="X45" i="21"/>
  <c r="X48" i="21"/>
  <c r="X47" i="21"/>
  <c r="Y68" i="2"/>
  <c r="Y77" i="2"/>
  <c r="Y87" i="2" s="1"/>
  <c r="Z39" i="2"/>
  <c r="Z58" i="2" s="1"/>
  <c r="Y49" i="2"/>
  <c r="V62" i="21"/>
  <c r="V60" i="21"/>
  <c r="W68" i="26"/>
  <c r="W17" i="21"/>
  <c r="W32" i="21" s="1"/>
  <c r="V67" i="24"/>
  <c r="V72" i="24" s="1"/>
  <c r="V66" i="24"/>
  <c r="U71" i="24"/>
  <c r="U73" i="24" s="1"/>
  <c r="U77" i="24" s="1"/>
  <c r="U40" i="2" s="1"/>
  <c r="U68" i="24"/>
  <c r="W52" i="24"/>
  <c r="Y34" i="23"/>
  <c r="Y36" i="23"/>
  <c r="Y19" i="23"/>
  <c r="Y24" i="23"/>
  <c r="Y21" i="23"/>
  <c r="Y9" i="23"/>
  <c r="Y11" i="23"/>
  <c r="Z7" i="23"/>
  <c r="Y10" i="23"/>
  <c r="X10" i="21"/>
  <c r="X17" i="21" s="1"/>
  <c r="X11" i="21"/>
  <c r="X17" i="22"/>
  <c r="X28" i="22" s="1"/>
  <c r="X46" i="22" s="1"/>
  <c r="X16" i="22"/>
  <c r="X27" i="22" s="1"/>
  <c r="X45" i="22" s="1"/>
  <c r="Y22" i="22"/>
  <c r="Y23" i="22" s="1"/>
  <c r="Y10" i="22"/>
  <c r="V36" i="21"/>
  <c r="U41" i="21"/>
  <c r="U73" i="21" s="1"/>
  <c r="U89" i="2" s="1"/>
  <c r="U39" i="21"/>
  <c r="U71" i="21" s="1"/>
  <c r="U51" i="2" s="1"/>
  <c r="U40" i="21"/>
  <c r="U72" i="21" s="1"/>
  <c r="U70" i="2" s="1"/>
  <c r="W49" i="21"/>
  <c r="O39" i="22"/>
  <c r="O40" i="22"/>
  <c r="O38" i="22"/>
  <c r="W15" i="21"/>
  <c r="W30" i="21" s="1"/>
  <c r="W31" i="21"/>
  <c r="Y7" i="21"/>
  <c r="Y57" i="21" s="1"/>
  <c r="X9" i="21"/>
  <c r="X35" i="21"/>
  <c r="X27" i="21" s="1"/>
  <c r="Z7" i="22"/>
  <c r="Y9" i="22"/>
  <c r="Y11" i="22"/>
  <c r="X15" i="22"/>
  <c r="X26" i="22" s="1"/>
  <c r="X44" i="22" s="1"/>
  <c r="P13" i="21"/>
  <c r="Y27" i="23" l="1"/>
  <c r="Y41" i="23" s="1"/>
  <c r="T78" i="24"/>
  <c r="T59" i="2" s="1"/>
  <c r="X22" i="24"/>
  <c r="X41" i="24" s="1"/>
  <c r="X46" i="24" s="1"/>
  <c r="X29" i="23"/>
  <c r="X43" i="23" s="1"/>
  <c r="Q13" i="22"/>
  <c r="Q33" i="22" s="1"/>
  <c r="Q34" i="22" s="1"/>
  <c r="X28" i="23"/>
  <c r="X42" i="23" s="1"/>
  <c r="V45" i="24"/>
  <c r="V47" i="24" s="1"/>
  <c r="W42" i="23"/>
  <c r="W43" i="23"/>
  <c r="Y13" i="23"/>
  <c r="W40" i="24"/>
  <c r="W45" i="24" s="1"/>
  <c r="W47" i="24" s="1"/>
  <c r="T77" i="24"/>
  <c r="T40" i="2" s="1"/>
  <c r="Y46" i="21"/>
  <c r="Y45" i="21"/>
  <c r="Y47" i="21"/>
  <c r="Y48" i="21"/>
  <c r="Z68" i="2"/>
  <c r="Z77" i="2"/>
  <c r="Z87" i="2" s="1"/>
  <c r="AA39" i="2"/>
  <c r="AA58" i="2" s="1"/>
  <c r="Z49" i="2"/>
  <c r="W62" i="21"/>
  <c r="X15" i="21"/>
  <c r="X60" i="21" s="1"/>
  <c r="Y11" i="21"/>
  <c r="X68" i="26"/>
  <c r="U78" i="24"/>
  <c r="U59" i="2" s="1"/>
  <c r="W66" i="24"/>
  <c r="W67" i="24"/>
  <c r="W72" i="24" s="1"/>
  <c r="U79" i="24"/>
  <c r="U78" i="2" s="1"/>
  <c r="X52" i="24"/>
  <c r="V71" i="24"/>
  <c r="V73" i="24" s="1"/>
  <c r="V68" i="24"/>
  <c r="Z34" i="23"/>
  <c r="Z36" i="23"/>
  <c r="Z19" i="23"/>
  <c r="Z24" i="23"/>
  <c r="Z21" i="23"/>
  <c r="Z10" i="23"/>
  <c r="Z9" i="23"/>
  <c r="AA7" i="23"/>
  <c r="Z11" i="23"/>
  <c r="X16" i="21"/>
  <c r="X31" i="21" s="1"/>
  <c r="Y16" i="22"/>
  <c r="Y27" i="22" s="1"/>
  <c r="Y45" i="22" s="1"/>
  <c r="Y17" i="22"/>
  <c r="Y28" i="22" s="1"/>
  <c r="Y46" i="22" s="1"/>
  <c r="Z22" i="22"/>
  <c r="Z23" i="22" s="1"/>
  <c r="Z10" i="22"/>
  <c r="Y9" i="21"/>
  <c r="Y10" i="21"/>
  <c r="V39" i="21"/>
  <c r="V71" i="21" s="1"/>
  <c r="V51" i="2" s="1"/>
  <c r="V40" i="21"/>
  <c r="V72" i="21" s="1"/>
  <c r="V70" i="2" s="1"/>
  <c r="V41" i="21"/>
  <c r="V73" i="21" s="1"/>
  <c r="V89" i="2" s="1"/>
  <c r="W36" i="21"/>
  <c r="W61" i="21"/>
  <c r="W60" i="21"/>
  <c r="Z7" i="21"/>
  <c r="Z57" i="21" s="1"/>
  <c r="Y35" i="21"/>
  <c r="Y27" i="21" s="1"/>
  <c r="X49" i="21"/>
  <c r="P39" i="22"/>
  <c r="P40" i="22"/>
  <c r="P38" i="22"/>
  <c r="X32" i="21"/>
  <c r="Y15" i="22"/>
  <c r="Y26" i="22" s="1"/>
  <c r="Y44" i="22" s="1"/>
  <c r="Z11" i="22"/>
  <c r="AA7" i="22"/>
  <c r="Z9" i="22"/>
  <c r="Q13" i="21"/>
  <c r="X40" i="24" l="1"/>
  <c r="X45" i="24" s="1"/>
  <c r="X47" i="24" s="1"/>
  <c r="Y28" i="23"/>
  <c r="Y42" i="23" s="1"/>
  <c r="Y22" i="24"/>
  <c r="Y41" i="24" s="1"/>
  <c r="Y46" i="24" s="1"/>
  <c r="Z27" i="23"/>
  <c r="Z41" i="23" s="1"/>
  <c r="Y29" i="23"/>
  <c r="Y43" i="23" s="1"/>
  <c r="R13" i="22"/>
  <c r="R33" i="22" s="1"/>
  <c r="R34" i="22" s="1"/>
  <c r="Z13" i="23"/>
  <c r="W42" i="24"/>
  <c r="V79" i="24"/>
  <c r="V78" i="2" s="1"/>
  <c r="Z46" i="21"/>
  <c r="Z47" i="21"/>
  <c r="Z45" i="21"/>
  <c r="Z48" i="21"/>
  <c r="X30" i="21"/>
  <c r="AA68" i="2"/>
  <c r="AA77" i="2"/>
  <c r="AA87" i="2" s="1"/>
  <c r="AB39" i="2"/>
  <c r="AB58" i="2" s="1"/>
  <c r="AA49" i="2"/>
  <c r="Z11" i="21"/>
  <c r="Y68" i="26"/>
  <c r="X67" i="24"/>
  <c r="X72" i="24" s="1"/>
  <c r="X66" i="24"/>
  <c r="Y52" i="24"/>
  <c r="V77" i="24"/>
  <c r="V40" i="2" s="1"/>
  <c r="W71" i="24"/>
  <c r="W73" i="24" s="1"/>
  <c r="W79" i="24" s="1"/>
  <c r="W78" i="2" s="1"/>
  <c r="W68" i="24"/>
  <c r="V78" i="24"/>
  <c r="V59" i="2" s="1"/>
  <c r="AA34" i="23"/>
  <c r="AA36" i="23"/>
  <c r="AA19" i="23"/>
  <c r="AA24" i="23"/>
  <c r="AA21" i="23"/>
  <c r="AA11" i="23"/>
  <c r="AA9" i="23"/>
  <c r="AA10" i="23"/>
  <c r="AB7" i="23"/>
  <c r="Y17" i="21"/>
  <c r="Y32" i="21" s="1"/>
  <c r="Y16" i="21"/>
  <c r="Y31" i="21" s="1"/>
  <c r="AA22" i="22"/>
  <c r="AA23" i="22" s="1"/>
  <c r="AA10" i="22"/>
  <c r="Z17" i="22"/>
  <c r="Z28" i="22" s="1"/>
  <c r="Z46" i="22" s="1"/>
  <c r="Z16" i="22"/>
  <c r="Z27" i="22" s="1"/>
  <c r="Z45" i="22" s="1"/>
  <c r="Z35" i="21"/>
  <c r="Z27" i="21" s="1"/>
  <c r="Z10" i="21"/>
  <c r="X36" i="21"/>
  <c r="W39" i="21"/>
  <c r="W71" i="21" s="1"/>
  <c r="W51" i="2" s="1"/>
  <c r="W40" i="21"/>
  <c r="W72" i="21" s="1"/>
  <c r="W70" i="2" s="1"/>
  <c r="W41" i="21"/>
  <c r="W73" i="21" s="1"/>
  <c r="W89" i="2" s="1"/>
  <c r="X62" i="21"/>
  <c r="X61" i="21"/>
  <c r="AA7" i="21"/>
  <c r="AA57" i="21" s="1"/>
  <c r="Z9" i="21"/>
  <c r="Y49" i="21"/>
  <c r="Q40" i="22"/>
  <c r="Q38" i="22"/>
  <c r="Q39" i="22"/>
  <c r="Y15" i="21"/>
  <c r="Y30" i="21" s="1"/>
  <c r="Z15" i="22"/>
  <c r="Z26" i="22" s="1"/>
  <c r="Z44" i="22" s="1"/>
  <c r="AA11" i="22"/>
  <c r="AB7" i="22"/>
  <c r="AA9" i="22"/>
  <c r="R13" i="21"/>
  <c r="Y40" i="24" l="1"/>
  <c r="Y42" i="24" s="1"/>
  <c r="X42" i="24"/>
  <c r="AA27" i="23"/>
  <c r="AA41" i="23" s="1"/>
  <c r="Z28" i="23"/>
  <c r="Z42" i="23" s="1"/>
  <c r="Z29" i="23"/>
  <c r="Z43" i="23" s="1"/>
  <c r="S13" i="22"/>
  <c r="S33" i="22" s="1"/>
  <c r="S34" i="22" s="1"/>
  <c r="Z22" i="24"/>
  <c r="Z40" i="24" s="1"/>
  <c r="AA13" i="23"/>
  <c r="AA46" i="21"/>
  <c r="AA45" i="21"/>
  <c r="AA47" i="21"/>
  <c r="AA48" i="21"/>
  <c r="AB68" i="2"/>
  <c r="AB77" i="2"/>
  <c r="AB87" i="2" s="1"/>
  <c r="AC39" i="2"/>
  <c r="AC58" i="2" s="1"/>
  <c r="AB49" i="2"/>
  <c r="Y62" i="21"/>
  <c r="W77" i="24"/>
  <c r="W40" i="2" s="1"/>
  <c r="AA11" i="21"/>
  <c r="Z68" i="26"/>
  <c r="W78" i="24"/>
  <c r="W59" i="2" s="1"/>
  <c r="X71" i="24"/>
  <c r="X73" i="24" s="1"/>
  <c r="X79" i="24" s="1"/>
  <c r="X78" i="2" s="1"/>
  <c r="X68" i="24"/>
  <c r="Y67" i="24"/>
  <c r="Y72" i="24" s="1"/>
  <c r="Y66" i="24"/>
  <c r="Z52" i="24"/>
  <c r="AB34" i="23"/>
  <c r="AB36" i="23"/>
  <c r="AB19" i="23"/>
  <c r="AB24" i="23"/>
  <c r="AB21" i="23"/>
  <c r="AC7" i="23"/>
  <c r="AB9" i="23"/>
  <c r="AB11" i="23"/>
  <c r="AB10" i="23"/>
  <c r="Z16" i="21"/>
  <c r="Z31" i="21" s="1"/>
  <c r="Z17" i="21"/>
  <c r="Z62" i="21" s="1"/>
  <c r="AA16" i="22"/>
  <c r="AA27" i="22" s="1"/>
  <c r="AA45" i="22" s="1"/>
  <c r="AA17" i="22"/>
  <c r="AA28" i="22" s="1"/>
  <c r="AA46" i="22" s="1"/>
  <c r="AB22" i="22"/>
  <c r="AB23" i="22" s="1"/>
  <c r="AB10" i="22"/>
  <c r="AA10" i="21"/>
  <c r="Y36" i="21"/>
  <c r="X40" i="21"/>
  <c r="X72" i="21" s="1"/>
  <c r="X70" i="2" s="1"/>
  <c r="X41" i="21"/>
  <c r="X73" i="21" s="1"/>
  <c r="X89" i="2" s="1"/>
  <c r="X39" i="21"/>
  <c r="X71" i="21" s="1"/>
  <c r="X51" i="2" s="1"/>
  <c r="Y61" i="21"/>
  <c r="AA35" i="21"/>
  <c r="AA27" i="21" s="1"/>
  <c r="AB7" i="21"/>
  <c r="AB57" i="21" s="1"/>
  <c r="Y60" i="21"/>
  <c r="AA9" i="21"/>
  <c r="Z49" i="21"/>
  <c r="Z15" i="21"/>
  <c r="Z30" i="21" s="1"/>
  <c r="R40" i="22"/>
  <c r="R38" i="22"/>
  <c r="R39" i="22"/>
  <c r="AB9" i="22"/>
  <c r="AC7" i="22"/>
  <c r="AB11" i="22"/>
  <c r="AA15" i="22"/>
  <c r="AA26" i="22" s="1"/>
  <c r="AA44" i="22" s="1"/>
  <c r="S13" i="21"/>
  <c r="Y45" i="24" l="1"/>
  <c r="Y47" i="24" s="1"/>
  <c r="T13" i="22"/>
  <c r="T33" i="22" s="1"/>
  <c r="T34" i="22" s="1"/>
  <c r="AA29" i="23"/>
  <c r="AA43" i="23" s="1"/>
  <c r="AA22" i="24"/>
  <c r="AA40" i="24" s="1"/>
  <c r="AB27" i="23"/>
  <c r="AB41" i="23" s="1"/>
  <c r="AA28" i="23"/>
  <c r="AA42" i="23" s="1"/>
  <c r="Z41" i="24"/>
  <c r="Z46" i="24" s="1"/>
  <c r="AB13" i="23"/>
  <c r="AB45" i="21"/>
  <c r="AB47" i="21"/>
  <c r="AB48" i="21"/>
  <c r="AB46" i="21"/>
  <c r="AC68" i="2"/>
  <c r="AC77" i="2"/>
  <c r="AC87" i="2" s="1"/>
  <c r="AD39" i="2"/>
  <c r="AD58" i="2" s="1"/>
  <c r="AC49" i="2"/>
  <c r="AA49" i="21"/>
  <c r="AB11" i="21"/>
  <c r="X77" i="24"/>
  <c r="X40" i="2" s="1"/>
  <c r="X78" i="24"/>
  <c r="X59" i="2" s="1"/>
  <c r="AA68" i="26"/>
  <c r="Z67" i="24"/>
  <c r="Z72" i="24" s="1"/>
  <c r="Z66" i="24"/>
  <c r="Y71" i="24"/>
  <c r="Y73" i="24" s="1"/>
  <c r="Y68" i="24"/>
  <c r="AA52" i="24"/>
  <c r="Z45" i="24"/>
  <c r="AC34" i="23"/>
  <c r="AC36" i="23"/>
  <c r="AC19" i="23"/>
  <c r="AC24" i="23"/>
  <c r="AC21" i="23"/>
  <c r="AC10" i="23"/>
  <c r="AD7" i="23"/>
  <c r="AC9" i="23"/>
  <c r="AC11" i="23"/>
  <c r="Z32" i="21"/>
  <c r="Z36" i="21" s="1"/>
  <c r="AA16" i="21"/>
  <c r="AA61" i="21" s="1"/>
  <c r="AA17" i="21"/>
  <c r="AA32" i="21" s="1"/>
  <c r="AC22" i="22"/>
  <c r="AC23" i="22" s="1"/>
  <c r="AC10" i="22"/>
  <c r="AB16" i="22"/>
  <c r="AB27" i="22" s="1"/>
  <c r="AB45" i="22" s="1"/>
  <c r="AB17" i="22"/>
  <c r="AB28" i="22" s="1"/>
  <c r="AB46" i="22" s="1"/>
  <c r="AB9" i="21"/>
  <c r="AB10" i="21"/>
  <c r="Y41" i="21"/>
  <c r="Y73" i="21" s="1"/>
  <c r="Y89" i="2" s="1"/>
  <c r="Y39" i="21"/>
  <c r="Y71" i="21" s="1"/>
  <c r="Y51" i="2" s="1"/>
  <c r="Y40" i="21"/>
  <c r="Y72" i="21" s="1"/>
  <c r="Y70" i="2" s="1"/>
  <c r="Z61" i="21"/>
  <c r="AC7" i="21"/>
  <c r="AC57" i="21" s="1"/>
  <c r="AB35" i="21"/>
  <c r="AB27" i="21" s="1"/>
  <c r="AA15" i="21"/>
  <c r="Z60" i="21"/>
  <c r="S38" i="22"/>
  <c r="S39" i="22"/>
  <c r="S40" i="22"/>
  <c r="AD7" i="22"/>
  <c r="AC11" i="22"/>
  <c r="AC9" i="22"/>
  <c r="AB15" i="22"/>
  <c r="AB26" i="22" s="1"/>
  <c r="AB44" i="22" s="1"/>
  <c r="T13" i="21"/>
  <c r="U13" i="22" l="1"/>
  <c r="U33" i="22" s="1"/>
  <c r="Y77" i="24"/>
  <c r="Y40" i="2" s="1"/>
  <c r="AA41" i="24"/>
  <c r="AA46" i="24" s="1"/>
  <c r="Z42" i="24"/>
  <c r="Z47" i="24"/>
  <c r="AC27" i="23"/>
  <c r="AC41" i="23" s="1"/>
  <c r="AB28" i="23"/>
  <c r="AB42" i="23" s="1"/>
  <c r="AB22" i="24"/>
  <c r="AB41" i="24" s="1"/>
  <c r="AB46" i="24" s="1"/>
  <c r="AB29" i="23"/>
  <c r="AB43" i="23" s="1"/>
  <c r="AC13" i="23"/>
  <c r="AC47" i="21"/>
  <c r="AC48" i="21"/>
  <c r="AC45" i="21"/>
  <c r="AC46" i="21"/>
  <c r="AB49" i="21"/>
  <c r="AD68" i="2"/>
  <c r="AD77" i="2"/>
  <c r="AD87" i="2" s="1"/>
  <c r="AE39" i="2"/>
  <c r="AE58" i="2" s="1"/>
  <c r="AD49" i="2"/>
  <c r="AC11" i="21"/>
  <c r="AB68" i="26"/>
  <c r="AA31" i="21"/>
  <c r="Y79" i="24"/>
  <c r="Y78" i="2" s="1"/>
  <c r="AA67" i="24"/>
  <c r="AA72" i="24" s="1"/>
  <c r="AA66" i="24"/>
  <c r="AA45" i="24"/>
  <c r="Z71" i="24"/>
  <c r="Z73" i="24" s="1"/>
  <c r="Z68" i="24"/>
  <c r="AB52" i="24"/>
  <c r="Y78" i="24"/>
  <c r="Y59" i="2" s="1"/>
  <c r="AD34" i="23"/>
  <c r="AD36" i="23"/>
  <c r="AD19" i="23"/>
  <c r="AD24" i="23"/>
  <c r="AD21" i="23"/>
  <c r="AD10" i="23"/>
  <c r="AE7" i="23"/>
  <c r="AD11" i="23"/>
  <c r="AD9" i="23"/>
  <c r="AB17" i="21"/>
  <c r="AB32" i="21" s="1"/>
  <c r="AB16" i="21"/>
  <c r="AB61" i="21" s="1"/>
  <c r="AD22" i="22"/>
  <c r="AD23" i="22" s="1"/>
  <c r="AD10" i="22"/>
  <c r="AC17" i="22"/>
  <c r="AC28" i="22" s="1"/>
  <c r="AC46" i="22" s="1"/>
  <c r="AC16" i="22"/>
  <c r="AC27" i="22" s="1"/>
  <c r="AC45" i="22" s="1"/>
  <c r="AD7" i="21"/>
  <c r="AD57" i="21" s="1"/>
  <c r="AC10" i="21"/>
  <c r="AA36" i="21"/>
  <c r="Z39" i="21"/>
  <c r="Z71" i="21" s="1"/>
  <c r="Z51" i="2" s="1"/>
  <c r="Z40" i="21"/>
  <c r="Z72" i="21" s="1"/>
  <c r="Z70" i="2" s="1"/>
  <c r="Z41" i="21"/>
  <c r="Z73" i="21" s="1"/>
  <c r="Z89" i="2" s="1"/>
  <c r="AA62" i="21"/>
  <c r="AB15" i="21"/>
  <c r="AB60" i="21" s="1"/>
  <c r="AC35" i="21"/>
  <c r="AC27" i="21" s="1"/>
  <c r="AA30" i="21"/>
  <c r="AA60" i="21"/>
  <c r="AC9" i="21"/>
  <c r="T38" i="22"/>
  <c r="T39" i="22"/>
  <c r="T40" i="22"/>
  <c r="U34" i="22"/>
  <c r="V13" i="22"/>
  <c r="V33" i="22" s="1"/>
  <c r="AC15" i="22"/>
  <c r="AC26" i="22" s="1"/>
  <c r="AC44" i="22" s="1"/>
  <c r="AD11" i="22"/>
  <c r="AE7" i="22"/>
  <c r="AD9" i="22"/>
  <c r="U13" i="21"/>
  <c r="AC22" i="24" l="1"/>
  <c r="AA47" i="24"/>
  <c r="AD27" i="23"/>
  <c r="AD41" i="23" s="1"/>
  <c r="Z79" i="24"/>
  <c r="Z78" i="2" s="1"/>
  <c r="AA42" i="24"/>
  <c r="AC29" i="23"/>
  <c r="AC43" i="23" s="1"/>
  <c r="AC28" i="23"/>
  <c r="AC42" i="23" s="1"/>
  <c r="AB40" i="24"/>
  <c r="AB42" i="24" s="1"/>
  <c r="AD13" i="23"/>
  <c r="AD48" i="21"/>
  <c r="AD45" i="21"/>
  <c r="AD47" i="21"/>
  <c r="AD46" i="21"/>
  <c r="AE68" i="2"/>
  <c r="AE77" i="2"/>
  <c r="AE87" i="2" s="1"/>
  <c r="AF39" i="2"/>
  <c r="AF58" i="2" s="1"/>
  <c r="AE49" i="2"/>
  <c r="AC49" i="21"/>
  <c r="AD35" i="21"/>
  <c r="AD27" i="21" s="1"/>
  <c r="AB62" i="21"/>
  <c r="AC68" i="26"/>
  <c r="AC41" i="24"/>
  <c r="AC46" i="24" s="1"/>
  <c r="AC40" i="24"/>
  <c r="Z77" i="24"/>
  <c r="Z40" i="2" s="1"/>
  <c r="Z78" i="24"/>
  <c r="Z59" i="2" s="1"/>
  <c r="AC52" i="24"/>
  <c r="AB66" i="24"/>
  <c r="AB67" i="24"/>
  <c r="AB72" i="24" s="1"/>
  <c r="AA71" i="24"/>
  <c r="AA73" i="24" s="1"/>
  <c r="AA68" i="24"/>
  <c r="AE34" i="23"/>
  <c r="AE36" i="23"/>
  <c r="AE19" i="23"/>
  <c r="AE24" i="23"/>
  <c r="AE21" i="23"/>
  <c r="AE9" i="23"/>
  <c r="AE10" i="23"/>
  <c r="AE11" i="23"/>
  <c r="AF7" i="23"/>
  <c r="AD10" i="21"/>
  <c r="AD16" i="21" s="1"/>
  <c r="AD11" i="21"/>
  <c r="AC17" i="21"/>
  <c r="AC32" i="21" s="1"/>
  <c r="AC16" i="21"/>
  <c r="AC31" i="21" s="1"/>
  <c r="AE7" i="21"/>
  <c r="AE57" i="21" s="1"/>
  <c r="AD9" i="21"/>
  <c r="AD17" i="22"/>
  <c r="AD28" i="22" s="1"/>
  <c r="AD46" i="22" s="1"/>
  <c r="AD16" i="22"/>
  <c r="AD27" i="22" s="1"/>
  <c r="AD45" i="22" s="1"/>
  <c r="AE22" i="22"/>
  <c r="AE23" i="22" s="1"/>
  <c r="AE10" i="22"/>
  <c r="AB36" i="21"/>
  <c r="AA40" i="21"/>
  <c r="AA72" i="21" s="1"/>
  <c r="AA70" i="2" s="1"/>
  <c r="AA39" i="21"/>
  <c r="AA71" i="21" s="1"/>
  <c r="AA51" i="2" s="1"/>
  <c r="AA41" i="21"/>
  <c r="AA73" i="21" s="1"/>
  <c r="AA89" i="2" s="1"/>
  <c r="AB31" i="21"/>
  <c r="AC15" i="21"/>
  <c r="AC60" i="21" s="1"/>
  <c r="AB30" i="21"/>
  <c r="U38" i="22"/>
  <c r="U39" i="22"/>
  <c r="U40" i="22"/>
  <c r="V34" i="22"/>
  <c r="W13" i="22"/>
  <c r="W33" i="22" s="1"/>
  <c r="AD15" i="22"/>
  <c r="AD26" i="22" s="1"/>
  <c r="AD44" i="22" s="1"/>
  <c r="AE11" i="22"/>
  <c r="AF7" i="22"/>
  <c r="AE9" i="22"/>
  <c r="V13" i="21"/>
  <c r="AD28" i="23" l="1"/>
  <c r="AD42" i="23" s="1"/>
  <c r="AA77" i="24"/>
  <c r="AA40" i="2" s="1"/>
  <c r="AD29" i="23"/>
  <c r="AD43" i="23" s="1"/>
  <c r="AE27" i="23"/>
  <c r="AE41" i="23" s="1"/>
  <c r="AD22" i="24"/>
  <c r="AD40" i="24" s="1"/>
  <c r="AB45" i="24"/>
  <c r="AB47" i="24" s="1"/>
  <c r="AE13" i="23"/>
  <c r="AE48" i="21"/>
  <c r="AE46" i="21"/>
  <c r="AE47" i="21"/>
  <c r="AE45" i="21"/>
  <c r="AF68" i="2"/>
  <c r="AF77" i="2"/>
  <c r="AF87" i="2" s="1"/>
  <c r="AG39" i="2"/>
  <c r="AG58" i="2" s="1"/>
  <c r="AF49" i="2"/>
  <c r="AD49" i="21"/>
  <c r="AE35" i="21"/>
  <c r="AE27" i="21" s="1"/>
  <c r="AC62" i="21"/>
  <c r="AD68" i="26"/>
  <c r="AD17" i="21"/>
  <c r="AD32" i="21" s="1"/>
  <c r="AA78" i="24"/>
  <c r="AA59" i="2" s="1"/>
  <c r="AD52" i="24"/>
  <c r="AA79" i="24"/>
  <c r="AA78" i="2" s="1"/>
  <c r="AC67" i="24"/>
  <c r="AC72" i="24" s="1"/>
  <c r="AC66" i="24"/>
  <c r="AC45" i="24"/>
  <c r="AC47" i="24" s="1"/>
  <c r="AC42" i="24"/>
  <c r="AD15" i="21"/>
  <c r="AD30" i="21" s="1"/>
  <c r="AB71" i="24"/>
  <c r="AB73" i="24" s="1"/>
  <c r="AB68" i="24"/>
  <c r="AF34" i="23"/>
  <c r="AF36" i="23"/>
  <c r="AF19" i="23"/>
  <c r="AF24" i="23"/>
  <c r="AF21" i="23"/>
  <c r="AF11" i="23"/>
  <c r="AF9" i="23"/>
  <c r="AF10" i="23"/>
  <c r="AG7" i="23"/>
  <c r="AE10" i="21"/>
  <c r="AE17" i="21" s="1"/>
  <c r="AE11" i="21"/>
  <c r="AF7" i="21"/>
  <c r="AF57" i="21" s="1"/>
  <c r="AE9" i="21"/>
  <c r="AD61" i="21"/>
  <c r="AE16" i="22"/>
  <c r="AE27" i="22" s="1"/>
  <c r="AE45" i="22" s="1"/>
  <c r="AE17" i="22"/>
  <c r="AE28" i="22" s="1"/>
  <c r="AE46" i="22" s="1"/>
  <c r="AF22" i="22"/>
  <c r="AF23" i="22" s="1"/>
  <c r="AF10" i="22"/>
  <c r="AC61" i="21"/>
  <c r="AC30" i="21"/>
  <c r="AC36" i="21"/>
  <c r="AB40" i="21"/>
  <c r="AB72" i="21" s="1"/>
  <c r="AB70" i="2" s="1"/>
  <c r="AB39" i="21"/>
  <c r="AB71" i="21" s="1"/>
  <c r="AB51" i="2" s="1"/>
  <c r="AB41" i="21"/>
  <c r="AB73" i="21" s="1"/>
  <c r="AB89" i="2" s="1"/>
  <c r="V38" i="22"/>
  <c r="V39" i="22"/>
  <c r="V40" i="22"/>
  <c r="W34" i="22"/>
  <c r="X13" i="22"/>
  <c r="X33" i="22" s="1"/>
  <c r="AF9" i="22"/>
  <c r="AF11" i="22"/>
  <c r="AG7" i="22"/>
  <c r="AE15" i="22"/>
  <c r="AE26" i="22" s="1"/>
  <c r="AE44" i="22" s="1"/>
  <c r="W13" i="21"/>
  <c r="AD31" i="21"/>
  <c r="AF27" i="23" l="1"/>
  <c r="AF41" i="23" s="1"/>
  <c r="AD41" i="24"/>
  <c r="AD46" i="24" s="1"/>
  <c r="AE28" i="23"/>
  <c r="AE42" i="23" s="1"/>
  <c r="AE29" i="23"/>
  <c r="AE22" i="24"/>
  <c r="AE40" i="24" s="1"/>
  <c r="AB77" i="24"/>
  <c r="AB40" i="2" s="1"/>
  <c r="AF13" i="23"/>
  <c r="AE43" i="23"/>
  <c r="AF46" i="21"/>
  <c r="AF45" i="21"/>
  <c r="AF48" i="21"/>
  <c r="AF47" i="21"/>
  <c r="AG68" i="2"/>
  <c r="AG77" i="2"/>
  <c r="AG87" i="2" s="1"/>
  <c r="AH39" i="2"/>
  <c r="AH58" i="2" s="1"/>
  <c r="AG49" i="2"/>
  <c r="AE49" i="21"/>
  <c r="AF9" i="21"/>
  <c r="AD62" i="21"/>
  <c r="AE15" i="21"/>
  <c r="AE60" i="21" s="1"/>
  <c r="AD60" i="21"/>
  <c r="AG7" i="21"/>
  <c r="AG57" i="21" s="1"/>
  <c r="AE16" i="21"/>
  <c r="AE31" i="21" s="1"/>
  <c r="AE68" i="26"/>
  <c r="AC71" i="24"/>
  <c r="AC73" i="24" s="1"/>
  <c r="AC77" i="24" s="1"/>
  <c r="AC40" i="2" s="1"/>
  <c r="AC68" i="24"/>
  <c r="AF22" i="24"/>
  <c r="AE52" i="24"/>
  <c r="AB79" i="24"/>
  <c r="AB78" i="2" s="1"/>
  <c r="AD67" i="24"/>
  <c r="AD72" i="24" s="1"/>
  <c r="AD66" i="24"/>
  <c r="AD42" i="24"/>
  <c r="AD45" i="24"/>
  <c r="AB78" i="24"/>
  <c r="AB59" i="2" s="1"/>
  <c r="AG34" i="23"/>
  <c r="AG36" i="23"/>
  <c r="AG19" i="23"/>
  <c r="AG24" i="23"/>
  <c r="AG27" i="23" s="1"/>
  <c r="AG41" i="23" s="1"/>
  <c r="AG21" i="23"/>
  <c r="AH7" i="23"/>
  <c r="AG10" i="23"/>
  <c r="AG9" i="23"/>
  <c r="AG11" i="23"/>
  <c r="AF10" i="21"/>
  <c r="AF15" i="21" s="1"/>
  <c r="AF11" i="21"/>
  <c r="AF35" i="21"/>
  <c r="AF27" i="21" s="1"/>
  <c r="AE62" i="21"/>
  <c r="AG22" i="22"/>
  <c r="AG23" i="22" s="1"/>
  <c r="AG10" i="22"/>
  <c r="AF16" i="22"/>
  <c r="AF27" i="22" s="1"/>
  <c r="AF45" i="22" s="1"/>
  <c r="AF17" i="22"/>
  <c r="AF28" i="22" s="1"/>
  <c r="AF46" i="22" s="1"/>
  <c r="AD36" i="21"/>
  <c r="AC39" i="21"/>
  <c r="AC71" i="21" s="1"/>
  <c r="AC51" i="2" s="1"/>
  <c r="AC40" i="21"/>
  <c r="AC72" i="21" s="1"/>
  <c r="AC70" i="2" s="1"/>
  <c r="AC41" i="21"/>
  <c r="AC73" i="21" s="1"/>
  <c r="AC89" i="2" s="1"/>
  <c r="W39" i="22"/>
  <c r="W40" i="22"/>
  <c r="W38" i="22"/>
  <c r="X34" i="22"/>
  <c r="Y13" i="22"/>
  <c r="Y33" i="22" s="1"/>
  <c r="AF15" i="22"/>
  <c r="AF26" i="22" s="1"/>
  <c r="AF44" i="22" s="1"/>
  <c r="AH7" i="22"/>
  <c r="AG9" i="22"/>
  <c r="AG11" i="22"/>
  <c r="X13" i="21"/>
  <c r="AE32" i="21"/>
  <c r="AD47" i="24" l="1"/>
  <c r="AE41" i="24"/>
  <c r="AE46" i="24" s="1"/>
  <c r="AF28" i="23"/>
  <c r="AF29" i="23"/>
  <c r="AG13" i="23"/>
  <c r="AF43" i="23"/>
  <c r="AF42" i="23"/>
  <c r="AG29" i="23"/>
  <c r="AG28" i="23"/>
  <c r="AG9" i="21"/>
  <c r="AG46" i="21"/>
  <c r="AG45" i="21"/>
  <c r="AG47" i="21"/>
  <c r="AG48" i="21"/>
  <c r="AH68" i="2"/>
  <c r="AH77" i="2"/>
  <c r="AH87" i="2" s="1"/>
  <c r="AI39" i="2"/>
  <c r="AI58" i="2" s="1"/>
  <c r="AH49" i="2"/>
  <c r="AH7" i="21"/>
  <c r="AH57" i="21" s="1"/>
  <c r="AE30" i="21"/>
  <c r="AF49" i="21"/>
  <c r="AG10" i="21"/>
  <c r="AG17" i="21" s="1"/>
  <c r="AE61" i="21"/>
  <c r="AG35" i="21"/>
  <c r="AG27" i="21" s="1"/>
  <c r="AG11" i="21"/>
  <c r="AF68" i="26"/>
  <c r="AF60" i="21"/>
  <c r="AF52" i="24"/>
  <c r="AF40" i="24"/>
  <c r="AF41" i="24"/>
  <c r="AF46" i="24" s="1"/>
  <c r="AD71" i="24"/>
  <c r="AD73" i="24" s="1"/>
  <c r="AD79" i="24" s="1"/>
  <c r="AD78" i="2" s="1"/>
  <c r="AD68" i="24"/>
  <c r="AE45" i="24"/>
  <c r="AE42" i="24"/>
  <c r="AC79" i="24"/>
  <c r="AC78" i="2" s="1"/>
  <c r="AC78" i="24"/>
  <c r="AC59" i="2" s="1"/>
  <c r="AE66" i="24"/>
  <c r="AE67" i="24"/>
  <c r="AE72" i="24" s="1"/>
  <c r="AG22" i="24"/>
  <c r="AH34" i="23"/>
  <c r="AH36" i="23"/>
  <c r="AH19" i="23"/>
  <c r="AH24" i="23"/>
  <c r="AH27" i="23" s="1"/>
  <c r="AH41" i="23" s="1"/>
  <c r="AH21" i="23"/>
  <c r="AH10" i="23"/>
  <c r="AH11" i="23"/>
  <c r="AH9" i="23"/>
  <c r="AI7" i="23"/>
  <c r="AF16" i="21"/>
  <c r="AF31" i="21" s="1"/>
  <c r="AF17" i="21"/>
  <c r="AF32" i="21" s="1"/>
  <c r="AF36" i="21" s="1"/>
  <c r="AH22" i="22"/>
  <c r="AH23" i="22" s="1"/>
  <c r="AH10" i="22"/>
  <c r="AG16" i="22"/>
  <c r="AG27" i="22" s="1"/>
  <c r="AG45" i="22" s="1"/>
  <c r="AG17" i="22"/>
  <c r="AG28" i="22" s="1"/>
  <c r="AG46" i="22" s="1"/>
  <c r="AD39" i="21"/>
  <c r="AD71" i="21" s="1"/>
  <c r="AD51" i="2" s="1"/>
  <c r="AD40" i="21"/>
  <c r="AD72" i="21" s="1"/>
  <c r="AD70" i="2" s="1"/>
  <c r="AD41" i="21"/>
  <c r="AD73" i="21" s="1"/>
  <c r="AD89" i="2" s="1"/>
  <c r="AE36" i="21"/>
  <c r="X39" i="22"/>
  <c r="X40" i="22"/>
  <c r="X38" i="22"/>
  <c r="Y34" i="22"/>
  <c r="Z13" i="22"/>
  <c r="Z33" i="22" s="1"/>
  <c r="AG15" i="22"/>
  <c r="AG26" i="22" s="1"/>
  <c r="AG44" i="22" s="1"/>
  <c r="AI7" i="22"/>
  <c r="AH9" i="22"/>
  <c r="AH11" i="22"/>
  <c r="Y13" i="21"/>
  <c r="AF30" i="21"/>
  <c r="AE47" i="24" l="1"/>
  <c r="AH13" i="23"/>
  <c r="AG42" i="23"/>
  <c r="AG43" i="23"/>
  <c r="AH29" i="23"/>
  <c r="AH28" i="23"/>
  <c r="AH11" i="21"/>
  <c r="AH46" i="21"/>
  <c r="AH47" i="21"/>
  <c r="AH45" i="21"/>
  <c r="AH48" i="21"/>
  <c r="AH10" i="21"/>
  <c r="AH16" i="21" s="1"/>
  <c r="AI68" i="2"/>
  <c r="AI77" i="2"/>
  <c r="AI87" i="2" s="1"/>
  <c r="AJ39" i="2"/>
  <c r="AJ58" i="2" s="1"/>
  <c r="AI49" i="2"/>
  <c r="AH9" i="21"/>
  <c r="AI7" i="21"/>
  <c r="AI57" i="21" s="1"/>
  <c r="AH35" i="21"/>
  <c r="AH27" i="21" s="1"/>
  <c r="AG62" i="21"/>
  <c r="AG15" i="21"/>
  <c r="AG60" i="21" s="1"/>
  <c r="AG49" i="21"/>
  <c r="AG16" i="21"/>
  <c r="AG61" i="21" s="1"/>
  <c r="AG68" i="26"/>
  <c r="AE71" i="24"/>
  <c r="AE73" i="24" s="1"/>
  <c r="AE79" i="24" s="1"/>
  <c r="AE78" i="2" s="1"/>
  <c r="AE68" i="24"/>
  <c r="AD77" i="24"/>
  <c r="AD40" i="2" s="1"/>
  <c r="AF45" i="24"/>
  <c r="AF47" i="24" s="1"/>
  <c r="AF42" i="24"/>
  <c r="AH22" i="24"/>
  <c r="AG41" i="24"/>
  <c r="AG46" i="24" s="1"/>
  <c r="AG40" i="24"/>
  <c r="AF67" i="24"/>
  <c r="AF72" i="24" s="1"/>
  <c r="AF66" i="24"/>
  <c r="AG52" i="24"/>
  <c r="AD78" i="24"/>
  <c r="AD59" i="2" s="1"/>
  <c r="AF62" i="21"/>
  <c r="AI34" i="23"/>
  <c r="AI36" i="23"/>
  <c r="AI19" i="23"/>
  <c r="AI24" i="23"/>
  <c r="AI27" i="23" s="1"/>
  <c r="AI41" i="23" s="1"/>
  <c r="AI21" i="23"/>
  <c r="AI9" i="23"/>
  <c r="AJ7" i="23"/>
  <c r="AI10" i="23"/>
  <c r="AI11" i="23"/>
  <c r="AF61" i="21"/>
  <c r="AI22" i="22"/>
  <c r="AI23" i="22" s="1"/>
  <c r="AI10" i="22"/>
  <c r="AH17" i="22"/>
  <c r="AH28" i="22" s="1"/>
  <c r="AH46" i="22" s="1"/>
  <c r="AH16" i="22"/>
  <c r="AH27" i="22" s="1"/>
  <c r="AH45" i="22" s="1"/>
  <c r="AF40" i="21"/>
  <c r="AF41" i="21"/>
  <c r="AF39" i="21"/>
  <c r="AF71" i="21" s="1"/>
  <c r="AF51" i="2" s="1"/>
  <c r="AE39" i="21"/>
  <c r="AE71" i="21" s="1"/>
  <c r="AE51" i="2" s="1"/>
  <c r="AE40" i="21"/>
  <c r="AE72" i="21" s="1"/>
  <c r="AE70" i="2" s="1"/>
  <c r="AE41" i="21"/>
  <c r="AE73" i="21" s="1"/>
  <c r="AE89" i="2" s="1"/>
  <c r="Y40" i="22"/>
  <c r="Y38" i="22"/>
  <c r="Y39" i="22"/>
  <c r="Z34" i="22"/>
  <c r="AA13" i="22"/>
  <c r="AA33" i="22" s="1"/>
  <c r="AH15" i="22"/>
  <c r="AH26" i="22" s="1"/>
  <c r="AH44" i="22" s="1"/>
  <c r="AJ7" i="22"/>
  <c r="AI11" i="22"/>
  <c r="AI9" i="22"/>
  <c r="Z13" i="21"/>
  <c r="AG32" i="21"/>
  <c r="AI13" i="23" l="1"/>
  <c r="AH42" i="23"/>
  <c r="AH43" i="23"/>
  <c r="AI29" i="23"/>
  <c r="AI28" i="23"/>
  <c r="AI10" i="21"/>
  <c r="AI16" i="21" s="1"/>
  <c r="AI31" i="21" s="1"/>
  <c r="AI46" i="21"/>
  <c r="AI45" i="21"/>
  <c r="AI47" i="21"/>
  <c r="AI48" i="21"/>
  <c r="AJ7" i="21"/>
  <c r="AI9" i="21"/>
  <c r="AI35" i="21"/>
  <c r="AI27" i="21" s="1"/>
  <c r="AI11" i="21"/>
  <c r="AH61" i="21"/>
  <c r="AH15" i="21"/>
  <c r="AH60" i="21" s="1"/>
  <c r="AH17" i="21"/>
  <c r="AH32" i="21" s="1"/>
  <c r="AH36" i="21" s="1"/>
  <c r="AH49" i="21"/>
  <c r="AG30" i="21"/>
  <c r="AG31" i="21"/>
  <c r="AJ68" i="2"/>
  <c r="AJ77" i="2"/>
  <c r="AJ87" i="2" s="1"/>
  <c r="AK39" i="2"/>
  <c r="AK58" i="2" s="1"/>
  <c r="AJ49" i="2"/>
  <c r="AF73" i="21"/>
  <c r="AF89" i="2" s="1"/>
  <c r="AE77" i="24"/>
  <c r="AE40" i="2" s="1"/>
  <c r="AE78" i="24"/>
  <c r="AE59" i="2" s="1"/>
  <c r="AH68" i="26"/>
  <c r="AH52" i="24"/>
  <c r="AF71" i="24"/>
  <c r="AF73" i="24" s="1"/>
  <c r="AF79" i="24" s="1"/>
  <c r="AF78" i="2" s="1"/>
  <c r="AF68" i="24"/>
  <c r="AI22" i="24"/>
  <c r="AG67" i="24"/>
  <c r="AG72" i="24" s="1"/>
  <c r="AG66" i="24"/>
  <c r="AG45" i="24"/>
  <c r="AG47" i="24" s="1"/>
  <c r="AG42" i="24"/>
  <c r="AH40" i="24"/>
  <c r="AH41" i="24"/>
  <c r="AH46" i="24" s="1"/>
  <c r="AJ34" i="23"/>
  <c r="AJ36" i="23"/>
  <c r="AJ19" i="23"/>
  <c r="AJ24" i="23"/>
  <c r="AJ27" i="23" s="1"/>
  <c r="AJ41" i="23" s="1"/>
  <c r="AJ21" i="23"/>
  <c r="AJ10" i="23"/>
  <c r="AJ11" i="23"/>
  <c r="AJ13" i="23" s="1"/>
  <c r="AJ9" i="23"/>
  <c r="AK7" i="23"/>
  <c r="AF72" i="21"/>
  <c r="AF70" i="2" s="1"/>
  <c r="AJ22" i="22"/>
  <c r="AJ23" i="22" s="1"/>
  <c r="AJ10" i="22"/>
  <c r="AI17" i="22"/>
  <c r="AI28" i="22" s="1"/>
  <c r="AI46" i="22" s="1"/>
  <c r="AI16" i="22"/>
  <c r="AI27" i="22" s="1"/>
  <c r="AI45" i="22" s="1"/>
  <c r="AG36" i="21"/>
  <c r="Z40" i="22"/>
  <c r="Z38" i="22"/>
  <c r="Z39" i="22"/>
  <c r="AA34" i="22"/>
  <c r="AB13" i="22"/>
  <c r="AB33" i="22" s="1"/>
  <c r="AI15" i="22"/>
  <c r="AI26" i="22" s="1"/>
  <c r="AI44" i="22" s="1"/>
  <c r="AJ11" i="22"/>
  <c r="AJ9" i="22"/>
  <c r="AK7" i="22"/>
  <c r="AA13" i="21"/>
  <c r="AH31" i="21"/>
  <c r="AI42" i="23" l="1"/>
  <c r="AI43" i="23"/>
  <c r="AI15" i="21"/>
  <c r="AI30" i="21" s="1"/>
  <c r="AI17" i="21"/>
  <c r="AI32" i="21" s="1"/>
  <c r="AI36" i="21" s="1"/>
  <c r="AJ29" i="23"/>
  <c r="AJ28" i="23"/>
  <c r="AJ10" i="21"/>
  <c r="AJ17" i="21" s="1"/>
  <c r="AJ57" i="21"/>
  <c r="AJ11" i="21"/>
  <c r="AJ9" i="21"/>
  <c r="AK7" i="21"/>
  <c r="AL7" i="21" s="1"/>
  <c r="AL57" i="21" s="1"/>
  <c r="AJ45" i="21"/>
  <c r="AJ47" i="21"/>
  <c r="AJ48" i="21"/>
  <c r="AJ46" i="21"/>
  <c r="AJ35" i="21"/>
  <c r="AJ27" i="21" s="1"/>
  <c r="AH30" i="21"/>
  <c r="AH62" i="21"/>
  <c r="AI49" i="21"/>
  <c r="AK68" i="2"/>
  <c r="AK77" i="2"/>
  <c r="AK87" i="2" s="1"/>
  <c r="AL39" i="2"/>
  <c r="AL58" i="2" s="1"/>
  <c r="AK49" i="2"/>
  <c r="AF78" i="24"/>
  <c r="AF59" i="2" s="1"/>
  <c r="AI68" i="26"/>
  <c r="AF77" i="24"/>
  <c r="AF40" i="2" s="1"/>
  <c r="AH45" i="24"/>
  <c r="AH47" i="24" s="1"/>
  <c r="AH42" i="24"/>
  <c r="AI52" i="24"/>
  <c r="AG71" i="24"/>
  <c r="AG73" i="24" s="1"/>
  <c r="AG79" i="24" s="1"/>
  <c r="AG78" i="2" s="1"/>
  <c r="AG68" i="24"/>
  <c r="AJ22" i="24"/>
  <c r="AH66" i="24"/>
  <c r="AH67" i="24"/>
  <c r="AH72" i="24" s="1"/>
  <c r="AI40" i="24"/>
  <c r="AI41" i="24"/>
  <c r="AI46" i="24" s="1"/>
  <c r="AK34" i="23"/>
  <c r="AK36" i="23"/>
  <c r="AK19" i="23"/>
  <c r="AK24" i="23"/>
  <c r="AK27" i="23" s="1"/>
  <c r="AK41" i="23" s="1"/>
  <c r="AK21" i="23"/>
  <c r="AK11" i="23"/>
  <c r="AK13" i="23" s="1"/>
  <c r="AK10" i="23"/>
  <c r="AL7" i="23"/>
  <c r="AK9" i="23"/>
  <c r="AK22" i="22"/>
  <c r="AK23" i="22" s="1"/>
  <c r="AK10" i="22"/>
  <c r="AJ17" i="22"/>
  <c r="AJ28" i="22" s="1"/>
  <c r="AJ46" i="22" s="1"/>
  <c r="AJ16" i="22"/>
  <c r="AJ27" i="22" s="1"/>
  <c r="AJ45" i="22" s="1"/>
  <c r="AH39" i="21"/>
  <c r="AH71" i="21" s="1"/>
  <c r="AH51" i="2" s="1"/>
  <c r="AH40" i="21"/>
  <c r="AH72" i="21" s="1"/>
  <c r="AH70" i="2" s="1"/>
  <c r="AH41" i="21"/>
  <c r="AG41" i="21"/>
  <c r="AG73" i="21" s="1"/>
  <c r="AG89" i="2" s="1"/>
  <c r="AG39" i="21"/>
  <c r="AG71" i="21" s="1"/>
  <c r="AG51" i="2" s="1"/>
  <c r="AG40" i="21"/>
  <c r="AG72" i="21" s="1"/>
  <c r="AG70" i="2" s="1"/>
  <c r="AI61" i="21"/>
  <c r="AA40" i="22"/>
  <c r="AA38" i="22"/>
  <c r="AA39" i="22"/>
  <c r="AB34" i="22"/>
  <c r="AC13" i="22"/>
  <c r="AC33" i="22" s="1"/>
  <c r="AK11" i="22"/>
  <c r="AK9" i="22"/>
  <c r="AL7" i="22"/>
  <c r="AJ15" i="22"/>
  <c r="AJ26" i="22" s="1"/>
  <c r="AJ44" i="22" s="1"/>
  <c r="AB13" i="21"/>
  <c r="AJ16" i="21" l="1"/>
  <c r="AJ61" i="21" s="1"/>
  <c r="AJ15" i="21"/>
  <c r="AJ30" i="21" s="1"/>
  <c r="AI62" i="21"/>
  <c r="AI60" i="21"/>
  <c r="AJ42" i="23"/>
  <c r="AJ43" i="23"/>
  <c r="AK29" i="23"/>
  <c r="AK28" i="23"/>
  <c r="AJ62" i="21"/>
  <c r="AH73" i="21"/>
  <c r="AH89" i="2" s="1"/>
  <c r="AK11" i="21"/>
  <c r="AK35" i="21"/>
  <c r="AK27" i="21" s="1"/>
  <c r="AK10" i="21"/>
  <c r="AK16" i="21" s="1"/>
  <c r="AK31" i="21" s="1"/>
  <c r="AK46" i="21"/>
  <c r="AK9" i="21"/>
  <c r="AK45" i="21"/>
  <c r="AK47" i="21"/>
  <c r="AK57" i="21"/>
  <c r="AK48" i="21"/>
  <c r="AJ49" i="21"/>
  <c r="AL48" i="21"/>
  <c r="AL45" i="21"/>
  <c r="AL46" i="21"/>
  <c r="AL47" i="21"/>
  <c r="AL68" i="2"/>
  <c r="AL77" i="2"/>
  <c r="AL87" i="2" s="1"/>
  <c r="AM39" i="2"/>
  <c r="AM58" i="2" s="1"/>
  <c r="AL49" i="2"/>
  <c r="AJ68" i="26"/>
  <c r="AI66" i="24"/>
  <c r="AI67" i="24"/>
  <c r="AI72" i="24" s="1"/>
  <c r="AJ41" i="24"/>
  <c r="AJ46" i="24" s="1"/>
  <c r="AJ40" i="24"/>
  <c r="AJ52" i="24"/>
  <c r="AG78" i="24"/>
  <c r="AG59" i="2" s="1"/>
  <c r="AH71" i="24"/>
  <c r="AH73" i="24" s="1"/>
  <c r="AH77" i="24" s="1"/>
  <c r="AH40" i="2" s="1"/>
  <c r="AH68" i="24"/>
  <c r="AK22" i="24"/>
  <c r="AG77" i="24"/>
  <c r="AG40" i="2" s="1"/>
  <c r="AI45" i="24"/>
  <c r="AI47" i="24" s="1"/>
  <c r="AI42" i="24"/>
  <c r="AL34" i="23"/>
  <c r="AL36" i="23"/>
  <c r="AL19" i="23"/>
  <c r="AL24" i="23"/>
  <c r="AL27" i="23" s="1"/>
  <c r="AL41" i="23" s="1"/>
  <c r="AL21" i="23"/>
  <c r="AL11" i="23"/>
  <c r="AL13" i="23" s="1"/>
  <c r="AL9" i="23"/>
  <c r="AM7" i="23"/>
  <c r="AL10" i="23"/>
  <c r="AL10" i="21"/>
  <c r="AL16" i="21" s="1"/>
  <c r="AL11" i="21"/>
  <c r="AL22" i="22"/>
  <c r="AL23" i="22" s="1"/>
  <c r="AL10" i="22"/>
  <c r="AK16" i="22"/>
  <c r="AK27" i="22" s="1"/>
  <c r="AK45" i="22" s="1"/>
  <c r="AK17" i="22"/>
  <c r="AK28" i="22" s="1"/>
  <c r="AK46" i="22" s="1"/>
  <c r="AI39" i="21"/>
  <c r="AI40" i="21"/>
  <c r="AI72" i="21" s="1"/>
  <c r="AI70" i="2" s="1"/>
  <c r="AI41" i="21"/>
  <c r="AI73" i="21" s="1"/>
  <c r="AI89" i="2" s="1"/>
  <c r="AB38" i="22"/>
  <c r="AB39" i="22"/>
  <c r="AB40" i="22"/>
  <c r="AC34" i="22"/>
  <c r="AD13" i="22"/>
  <c r="AD33" i="22" s="1"/>
  <c r="AK15" i="22"/>
  <c r="AK26" i="22" s="1"/>
  <c r="AK44" i="22" s="1"/>
  <c r="AL9" i="22"/>
  <c r="AM7" i="22"/>
  <c r="AL11" i="22"/>
  <c r="AC13" i="21"/>
  <c r="AJ32" i="21"/>
  <c r="AL35" i="21"/>
  <c r="AL27" i="21" s="1"/>
  <c r="AL9" i="21"/>
  <c r="AM7" i="21"/>
  <c r="AM57" i="21" s="1"/>
  <c r="AJ31" i="21" l="1"/>
  <c r="AJ60" i="21"/>
  <c r="AI71" i="21"/>
  <c r="AI51" i="2" s="1"/>
  <c r="AK42" i="23"/>
  <c r="AK43" i="23"/>
  <c r="AK17" i="21"/>
  <c r="AK32" i="21" s="1"/>
  <c r="AK36" i="21" s="1"/>
  <c r="AL29" i="23"/>
  <c r="AL28" i="23"/>
  <c r="AK15" i="21"/>
  <c r="AK30" i="21" s="1"/>
  <c r="AK49" i="21"/>
  <c r="AM48" i="21"/>
  <c r="AM46" i="21"/>
  <c r="AM47" i="21"/>
  <c r="AM45" i="21"/>
  <c r="AL17" i="21"/>
  <c r="AL62" i="21" s="1"/>
  <c r="AM68" i="2"/>
  <c r="AM77" i="2"/>
  <c r="AM87" i="2" s="1"/>
  <c r="AN39" i="2"/>
  <c r="AN58" i="2" s="1"/>
  <c r="AM49" i="2"/>
  <c r="AK68" i="26"/>
  <c r="AH79" i="24"/>
  <c r="AH78" i="2" s="1"/>
  <c r="AH78" i="24"/>
  <c r="AH59" i="2" s="1"/>
  <c r="AJ67" i="24"/>
  <c r="AJ72" i="24" s="1"/>
  <c r="AJ66" i="24"/>
  <c r="AL22" i="24"/>
  <c r="AJ45" i="24"/>
  <c r="AJ47" i="24" s="1"/>
  <c r="AJ42" i="24"/>
  <c r="AK52" i="24"/>
  <c r="AK40" i="24"/>
  <c r="AK41" i="24"/>
  <c r="AK46" i="24" s="1"/>
  <c r="AI71" i="24"/>
  <c r="AI73" i="24" s="1"/>
  <c r="AI77" i="24" s="1"/>
  <c r="AI40" i="2" s="1"/>
  <c r="AI68" i="24"/>
  <c r="AM34" i="23"/>
  <c r="AM36" i="23"/>
  <c r="AM19" i="23"/>
  <c r="AM24" i="23"/>
  <c r="AM27" i="23" s="1"/>
  <c r="AM41" i="23" s="1"/>
  <c r="AM21" i="23"/>
  <c r="AM9" i="23"/>
  <c r="AN7" i="23"/>
  <c r="AM10" i="23"/>
  <c r="AM11" i="23"/>
  <c r="AM13" i="23" s="1"/>
  <c r="AM10" i="21"/>
  <c r="AM16" i="21" s="1"/>
  <c r="AM11" i="21"/>
  <c r="AM22" i="22"/>
  <c r="AM23" i="22" s="1"/>
  <c r="AM10" i="22"/>
  <c r="AL16" i="22"/>
  <c r="AL27" i="22" s="1"/>
  <c r="AL45" i="22" s="1"/>
  <c r="AL17" i="22"/>
  <c r="AL28" i="22" s="1"/>
  <c r="AL46" i="22" s="1"/>
  <c r="AJ36" i="21"/>
  <c r="AK61" i="21"/>
  <c r="AL49" i="21"/>
  <c r="AC38" i="22"/>
  <c r="AC39" i="22"/>
  <c r="AC40" i="22"/>
  <c r="AD34" i="22"/>
  <c r="AE13" i="22"/>
  <c r="AE33" i="22" s="1"/>
  <c r="AL15" i="22"/>
  <c r="AL26" i="22" s="1"/>
  <c r="AL44" i="22" s="1"/>
  <c r="AN7" i="22"/>
  <c r="AM9" i="22"/>
  <c r="AM11" i="22"/>
  <c r="AD13" i="21"/>
  <c r="AM35" i="21"/>
  <c r="AM27" i="21" s="1"/>
  <c r="AM9" i="21"/>
  <c r="AN7" i="21"/>
  <c r="AN57" i="21" s="1"/>
  <c r="AL15" i="21"/>
  <c r="AL60" i="21" s="1"/>
  <c r="AL61" i="21"/>
  <c r="AK62" i="21" l="1"/>
  <c r="AL43" i="23"/>
  <c r="AL42" i="23"/>
  <c r="AK60" i="21"/>
  <c r="AM29" i="23"/>
  <c r="AM28" i="23"/>
  <c r="AN46" i="21"/>
  <c r="AN45" i="21"/>
  <c r="AN47" i="21"/>
  <c r="AN48" i="21"/>
  <c r="AN68" i="2"/>
  <c r="AN77" i="2"/>
  <c r="AN87" i="2" s="1"/>
  <c r="AO39" i="2"/>
  <c r="AO58" i="2" s="1"/>
  <c r="AN49" i="2"/>
  <c r="AL68" i="26"/>
  <c r="AL52" i="24"/>
  <c r="AK67" i="24"/>
  <c r="AK72" i="24" s="1"/>
  <c r="AK66" i="24"/>
  <c r="AL41" i="24"/>
  <c r="AL46" i="24" s="1"/>
  <c r="AL40" i="24"/>
  <c r="AM17" i="21"/>
  <c r="AM32" i="21" s="1"/>
  <c r="AK42" i="24"/>
  <c r="AK45" i="24"/>
  <c r="AK47" i="24" s="1"/>
  <c r="AI78" i="24"/>
  <c r="AI59" i="2" s="1"/>
  <c r="AM22" i="24"/>
  <c r="AI79" i="24"/>
  <c r="AI78" i="2" s="1"/>
  <c r="AJ71" i="24"/>
  <c r="AJ73" i="24" s="1"/>
  <c r="AJ78" i="24" s="1"/>
  <c r="AJ59" i="2" s="1"/>
  <c r="AJ68" i="24"/>
  <c r="AN34" i="23"/>
  <c r="AN36" i="23"/>
  <c r="AN19" i="23"/>
  <c r="AN24" i="23"/>
  <c r="AN27" i="23" s="1"/>
  <c r="AN41" i="23" s="1"/>
  <c r="AN21" i="23"/>
  <c r="AN9" i="23"/>
  <c r="AN11" i="23"/>
  <c r="AN13" i="23" s="1"/>
  <c r="AO7" i="23"/>
  <c r="AN10" i="23"/>
  <c r="AN10" i="21"/>
  <c r="AN16" i="21" s="1"/>
  <c r="AN11" i="21"/>
  <c r="AM16" i="22"/>
  <c r="AM27" i="22" s="1"/>
  <c r="AM45" i="22" s="1"/>
  <c r="AM17" i="22"/>
  <c r="AM28" i="22" s="1"/>
  <c r="AM46" i="22" s="1"/>
  <c r="AN22" i="22"/>
  <c r="AN23" i="22" s="1"/>
  <c r="AN10" i="22"/>
  <c r="AK39" i="21"/>
  <c r="AK71" i="21" s="1"/>
  <c r="AK51" i="2" s="1"/>
  <c r="AK41" i="21"/>
  <c r="AK40" i="21"/>
  <c r="AK72" i="21" s="1"/>
  <c r="AK70" i="2" s="1"/>
  <c r="AJ40" i="21"/>
  <c r="AJ72" i="21" s="1"/>
  <c r="AJ70" i="2" s="1"/>
  <c r="AJ41" i="21"/>
  <c r="AJ73" i="21" s="1"/>
  <c r="AJ89" i="2" s="1"/>
  <c r="AJ39" i="21"/>
  <c r="AJ71" i="21" s="1"/>
  <c r="AJ51" i="2" s="1"/>
  <c r="AM49" i="21"/>
  <c r="AD38" i="22"/>
  <c r="AD39" i="22"/>
  <c r="AD40" i="22"/>
  <c r="AE34" i="22"/>
  <c r="AF13" i="22"/>
  <c r="AF33" i="22" s="1"/>
  <c r="AM15" i="22"/>
  <c r="AM26" i="22" s="1"/>
  <c r="AM44" i="22" s="1"/>
  <c r="AN9" i="22"/>
  <c r="AN11" i="22"/>
  <c r="AO7" i="22"/>
  <c r="AE13" i="21"/>
  <c r="AL30" i="21"/>
  <c r="AL32" i="21"/>
  <c r="AL31" i="21"/>
  <c r="AN35" i="21"/>
  <c r="AN27" i="21" s="1"/>
  <c r="AN9" i="21"/>
  <c r="AO7" i="21"/>
  <c r="AO57" i="21" s="1"/>
  <c r="AM61" i="21"/>
  <c r="AM15" i="21"/>
  <c r="AM60" i="21" s="1"/>
  <c r="AK73" i="21" l="1"/>
  <c r="AK89" i="2" s="1"/>
  <c r="AM42" i="23"/>
  <c r="AM43" i="23"/>
  <c r="AN29" i="23"/>
  <c r="AN28" i="23"/>
  <c r="AO46" i="21"/>
  <c r="AO45" i="21"/>
  <c r="AO48" i="21"/>
  <c r="AO47" i="21"/>
  <c r="AO68" i="2"/>
  <c r="AO77" i="2"/>
  <c r="AO87" i="2" s="1"/>
  <c r="AP39" i="2"/>
  <c r="AP58" i="2" s="1"/>
  <c r="AO49" i="2"/>
  <c r="AN17" i="21"/>
  <c r="AN62" i="21" s="1"/>
  <c r="AM68" i="26"/>
  <c r="AJ79" i="24"/>
  <c r="AJ78" i="2" s="1"/>
  <c r="AK71" i="24"/>
  <c r="AK73" i="24" s="1"/>
  <c r="AK78" i="24" s="1"/>
  <c r="AK59" i="2" s="1"/>
  <c r="AK68" i="24"/>
  <c r="AN22" i="24"/>
  <c r="AM41" i="24"/>
  <c r="AM46" i="24" s="1"/>
  <c r="AM40" i="24"/>
  <c r="AL67" i="24"/>
  <c r="AL72" i="24" s="1"/>
  <c r="AL66" i="24"/>
  <c r="AL45" i="24"/>
  <c r="AL47" i="24" s="1"/>
  <c r="AL42" i="24"/>
  <c r="AM52" i="24"/>
  <c r="AJ77" i="24"/>
  <c r="AJ40" i="2" s="1"/>
  <c r="AO34" i="23"/>
  <c r="AO36" i="23"/>
  <c r="AO19" i="23"/>
  <c r="AO24" i="23"/>
  <c r="AO27" i="23" s="1"/>
  <c r="AO41" i="23" s="1"/>
  <c r="AO21" i="23"/>
  <c r="AO10" i="23"/>
  <c r="AO9" i="23"/>
  <c r="AO11" i="23"/>
  <c r="AO13" i="23" s="1"/>
  <c r="AP7" i="23"/>
  <c r="AO10" i="21"/>
  <c r="AO16" i="21" s="1"/>
  <c r="AO11" i="21"/>
  <c r="AN17" i="22"/>
  <c r="AN28" i="22" s="1"/>
  <c r="AN46" i="22" s="1"/>
  <c r="AN16" i="22"/>
  <c r="AN27" i="22" s="1"/>
  <c r="AN45" i="22" s="1"/>
  <c r="AO22" i="22"/>
  <c r="AO23" i="22" s="1"/>
  <c r="AO10" i="22"/>
  <c r="AL36" i="21"/>
  <c r="AM36" i="21"/>
  <c r="AM62" i="21"/>
  <c r="AN49" i="21"/>
  <c r="AE39" i="22"/>
  <c r="AE38" i="22"/>
  <c r="AE40" i="22"/>
  <c r="AF34" i="22"/>
  <c r="AG13" i="22"/>
  <c r="AG33" i="22" s="1"/>
  <c r="AN15" i="22"/>
  <c r="AN26" i="22" s="1"/>
  <c r="AN44" i="22" s="1"/>
  <c r="AP7" i="22"/>
  <c r="AO9" i="22"/>
  <c r="AO11" i="22"/>
  <c r="AF13" i="21"/>
  <c r="AM31" i="21"/>
  <c r="AM30" i="21"/>
  <c r="AO35" i="21"/>
  <c r="AO27" i="21" s="1"/>
  <c r="AO9" i="21"/>
  <c r="AP7" i="21"/>
  <c r="AP57" i="21" s="1"/>
  <c r="AN15" i="21"/>
  <c r="AN60" i="21" s="1"/>
  <c r="AN61" i="21"/>
  <c r="AN43" i="23" l="1"/>
  <c r="AN42" i="23"/>
  <c r="AO29" i="23"/>
  <c r="AO28" i="23"/>
  <c r="AP46" i="21"/>
  <c r="AP45" i="21"/>
  <c r="AP47" i="21"/>
  <c r="AP48" i="21"/>
  <c r="AP68" i="2"/>
  <c r="AP77" i="2"/>
  <c r="AP87" i="2" s="1"/>
  <c r="AQ39" i="2"/>
  <c r="AQ58" i="2" s="1"/>
  <c r="AP49" i="2"/>
  <c r="AN68" i="26"/>
  <c r="AO17" i="21"/>
  <c r="AO62" i="21" s="1"/>
  <c r="AN52" i="24"/>
  <c r="AN41" i="24"/>
  <c r="AN46" i="24" s="1"/>
  <c r="AN40" i="24"/>
  <c r="AO22" i="24"/>
  <c r="AL71" i="24"/>
  <c r="AL73" i="24" s="1"/>
  <c r="AL77" i="24" s="1"/>
  <c r="AL40" i="2" s="1"/>
  <c r="AL68" i="24"/>
  <c r="AK79" i="24"/>
  <c r="AK78" i="2" s="1"/>
  <c r="AM67" i="24"/>
  <c r="AM72" i="24" s="1"/>
  <c r="AM66" i="24"/>
  <c r="AM45" i="24"/>
  <c r="AM47" i="24" s="1"/>
  <c r="AM42" i="24"/>
  <c r="AK77" i="24"/>
  <c r="AK40" i="2" s="1"/>
  <c r="AP34" i="23"/>
  <c r="AP36" i="23"/>
  <c r="AP19" i="23"/>
  <c r="AP24" i="23"/>
  <c r="AP27" i="23" s="1"/>
  <c r="AP41" i="23" s="1"/>
  <c r="AP21" i="23"/>
  <c r="AP10" i="23"/>
  <c r="AQ7" i="23"/>
  <c r="AP11" i="23"/>
  <c r="AP13" i="23" s="1"/>
  <c r="AP9" i="23"/>
  <c r="AP10" i="21"/>
  <c r="AP16" i="21" s="1"/>
  <c r="AP11" i="21"/>
  <c r="AP22" i="22"/>
  <c r="AP23" i="22" s="1"/>
  <c r="AP10" i="22"/>
  <c r="AO16" i="22"/>
  <c r="AO27" i="22" s="1"/>
  <c r="AO45" i="22" s="1"/>
  <c r="AO17" i="22"/>
  <c r="AO28" i="22" s="1"/>
  <c r="AO46" i="22" s="1"/>
  <c r="AM39" i="21"/>
  <c r="AM71" i="21" s="1"/>
  <c r="AM51" i="2" s="1"/>
  <c r="AM40" i="21"/>
  <c r="AM72" i="21" s="1"/>
  <c r="AM70" i="2" s="1"/>
  <c r="AM41" i="21"/>
  <c r="AM73" i="21" s="1"/>
  <c r="AM89" i="2" s="1"/>
  <c r="AL39" i="21"/>
  <c r="AL71" i="21" s="1"/>
  <c r="AL51" i="2" s="1"/>
  <c r="AL40" i="21"/>
  <c r="AL72" i="21" s="1"/>
  <c r="AL70" i="2" s="1"/>
  <c r="AL41" i="21"/>
  <c r="AL73" i="21" s="1"/>
  <c r="AL89" i="2" s="1"/>
  <c r="AO49" i="21"/>
  <c r="AF39" i="22"/>
  <c r="AF40" i="22"/>
  <c r="AF38" i="22"/>
  <c r="AG34" i="22"/>
  <c r="AH13" i="22"/>
  <c r="AQ7" i="22"/>
  <c r="AP9" i="22"/>
  <c r="AP11" i="22"/>
  <c r="AO15" i="22"/>
  <c r="AO26" i="22" s="1"/>
  <c r="AO44" i="22" s="1"/>
  <c r="AG13" i="21"/>
  <c r="AN30" i="21"/>
  <c r="AN32" i="21"/>
  <c r="AN31" i="21"/>
  <c r="AP35" i="21"/>
  <c r="AP27" i="21" s="1"/>
  <c r="AP9" i="21"/>
  <c r="AQ7" i="21"/>
  <c r="AQ57" i="21" s="1"/>
  <c r="AO31" i="21"/>
  <c r="AO15" i="21"/>
  <c r="AO30" i="21" s="1"/>
  <c r="AO43" i="23" l="1"/>
  <c r="AO42" i="23"/>
  <c r="AP29" i="23"/>
  <c r="AP28" i="23"/>
  <c r="AQ46" i="21"/>
  <c r="AQ45" i="21"/>
  <c r="AQ47" i="21"/>
  <c r="AQ48" i="21"/>
  <c r="AP49" i="21"/>
  <c r="AQ68" i="2"/>
  <c r="AQ77" i="2"/>
  <c r="AQ87" i="2" s="1"/>
  <c r="AR39" i="2"/>
  <c r="AQ49" i="2"/>
  <c r="AL78" i="24"/>
  <c r="AL59" i="2" s="1"/>
  <c r="AP17" i="21"/>
  <c r="AP32" i="21" s="1"/>
  <c r="AO68" i="26"/>
  <c r="AL79" i="24"/>
  <c r="AL78" i="2" s="1"/>
  <c r="AO40" i="24"/>
  <c r="AO41" i="24"/>
  <c r="AO46" i="24" s="1"/>
  <c r="AP22" i="24"/>
  <c r="AN66" i="24"/>
  <c r="AN67" i="24"/>
  <c r="AN72" i="24" s="1"/>
  <c r="AM71" i="24"/>
  <c r="AM73" i="24" s="1"/>
  <c r="AM77" i="24" s="1"/>
  <c r="AM40" i="2" s="1"/>
  <c r="AM68" i="24"/>
  <c r="AO52" i="24"/>
  <c r="AN42" i="24"/>
  <c r="AN45" i="24"/>
  <c r="AN47" i="24" s="1"/>
  <c r="AQ34" i="23"/>
  <c r="AQ36" i="23"/>
  <c r="AQ19" i="23"/>
  <c r="AQ24" i="23"/>
  <c r="AQ27" i="23" s="1"/>
  <c r="AQ41" i="23" s="1"/>
  <c r="AQ21" i="23"/>
  <c r="AR7" i="23"/>
  <c r="AQ10" i="23"/>
  <c r="AQ9" i="23"/>
  <c r="AQ11" i="23"/>
  <c r="AQ13" i="23" s="1"/>
  <c r="AQ10" i="21"/>
  <c r="AQ16" i="21" s="1"/>
  <c r="AQ11" i="21"/>
  <c r="AQ22" i="22"/>
  <c r="AQ23" i="22" s="1"/>
  <c r="AQ10" i="22"/>
  <c r="AP17" i="22"/>
  <c r="AP28" i="22" s="1"/>
  <c r="AP46" i="22" s="1"/>
  <c r="AP16" i="22"/>
  <c r="AP27" i="22" s="1"/>
  <c r="AP45" i="22" s="1"/>
  <c r="AN36" i="21"/>
  <c r="AO61" i="21"/>
  <c r="AO60" i="21"/>
  <c r="AG40" i="22"/>
  <c r="AG39" i="22"/>
  <c r="AG38" i="22"/>
  <c r="AI13" i="22"/>
  <c r="AI33" i="22" s="1"/>
  <c r="AP15" i="22"/>
  <c r="AP26" i="22" s="1"/>
  <c r="AP44" i="22" s="1"/>
  <c r="AQ9" i="22"/>
  <c r="AQ11" i="22"/>
  <c r="AR7" i="22"/>
  <c r="AH13" i="21"/>
  <c r="AO32" i="21"/>
  <c r="AQ35" i="21"/>
  <c r="AQ27" i="21" s="1"/>
  <c r="AP31" i="21"/>
  <c r="AP15" i="21"/>
  <c r="AP60" i="21" s="1"/>
  <c r="AQ9" i="21"/>
  <c r="AR7" i="21"/>
  <c r="AR57" i="21" s="1"/>
  <c r="AP43" i="23" l="1"/>
  <c r="AP42" i="23"/>
  <c r="AQ28" i="23"/>
  <c r="AQ29" i="23"/>
  <c r="AR45" i="21"/>
  <c r="AR47" i="21"/>
  <c r="D47" i="21" s="1"/>
  <c r="AR48" i="21"/>
  <c r="D48" i="21" s="1"/>
  <c r="AR46" i="21"/>
  <c r="D46" i="21" s="1"/>
  <c r="AR49" i="2"/>
  <c r="AR58" i="2"/>
  <c r="AQ17" i="21"/>
  <c r="AQ32" i="21" s="1"/>
  <c r="AP68" i="26"/>
  <c r="AO45" i="24"/>
  <c r="AO47" i="24" s="1"/>
  <c r="AO42" i="24"/>
  <c r="AP52" i="24"/>
  <c r="AO66" i="24"/>
  <c r="AO67" i="24"/>
  <c r="AO72" i="24" s="1"/>
  <c r="AQ22" i="24"/>
  <c r="AN71" i="24"/>
  <c r="AN73" i="24" s="1"/>
  <c r="AN77" i="24" s="1"/>
  <c r="AN40" i="2" s="1"/>
  <c r="AN68" i="24"/>
  <c r="AM78" i="24"/>
  <c r="AM59" i="2" s="1"/>
  <c r="AP40" i="24"/>
  <c r="AP41" i="24"/>
  <c r="AP46" i="24" s="1"/>
  <c r="AM79" i="24"/>
  <c r="AM78" i="2" s="1"/>
  <c r="AR34" i="23"/>
  <c r="AR36" i="23"/>
  <c r="AR19" i="23"/>
  <c r="AR24" i="23"/>
  <c r="AR27" i="23" s="1"/>
  <c r="AR41" i="23" s="1"/>
  <c r="AR21" i="23"/>
  <c r="AR11" i="23"/>
  <c r="AR13" i="23" s="1"/>
  <c r="AR9" i="23"/>
  <c r="AR10" i="23"/>
  <c r="AR10" i="21"/>
  <c r="AR17" i="21" s="1"/>
  <c r="AR11" i="21"/>
  <c r="AR22" i="22"/>
  <c r="AR23" i="22" s="1"/>
  <c r="D23" i="22" s="1"/>
  <c r="AR10" i="22"/>
  <c r="AQ17" i="22"/>
  <c r="AQ28" i="22" s="1"/>
  <c r="AQ46" i="22" s="1"/>
  <c r="AQ16" i="22"/>
  <c r="AQ27" i="22" s="1"/>
  <c r="AQ45" i="22" s="1"/>
  <c r="AP36" i="21"/>
  <c r="AO36" i="21"/>
  <c r="AN40" i="21"/>
  <c r="AN72" i="21" s="1"/>
  <c r="AN70" i="2" s="1"/>
  <c r="AN41" i="21"/>
  <c r="AN73" i="21" s="1"/>
  <c r="AN89" i="2" s="1"/>
  <c r="AN39" i="21"/>
  <c r="AN71" i="21" s="1"/>
  <c r="AN51" i="2" s="1"/>
  <c r="AP62" i="21"/>
  <c r="AP61" i="21"/>
  <c r="AQ49" i="21"/>
  <c r="AI34" i="22"/>
  <c r="AJ13" i="22"/>
  <c r="AJ33" i="22" s="1"/>
  <c r="AR11" i="22"/>
  <c r="AR9" i="22"/>
  <c r="AQ15" i="22"/>
  <c r="AQ26" i="22" s="1"/>
  <c r="AQ44" i="22" s="1"/>
  <c r="AI13" i="21"/>
  <c r="AP30" i="21"/>
  <c r="AR35" i="21"/>
  <c r="AR27" i="21" s="1"/>
  <c r="AQ61" i="21"/>
  <c r="AQ15" i="21"/>
  <c r="AQ60" i="21" s="1"/>
  <c r="AR9" i="21"/>
  <c r="AQ42" i="23" l="1"/>
  <c r="AQ43" i="23"/>
  <c r="AR29" i="23"/>
  <c r="AR28" i="23"/>
  <c r="AR68" i="2"/>
  <c r="AR77" i="2"/>
  <c r="AR87" i="2" s="1"/>
  <c r="AQ68" i="26"/>
  <c r="AN78" i="24"/>
  <c r="AN59" i="2" s="1"/>
  <c r="AR16" i="21"/>
  <c r="AR61" i="21" s="1"/>
  <c r="AQ41" i="24"/>
  <c r="AQ46" i="24" s="1"/>
  <c r="AQ40" i="24"/>
  <c r="AO71" i="24"/>
  <c r="AO73" i="24" s="1"/>
  <c r="AO78" i="24" s="1"/>
  <c r="AO59" i="2" s="1"/>
  <c r="AO68" i="24"/>
  <c r="AR22" i="24"/>
  <c r="AP45" i="24"/>
  <c r="AP47" i="24" s="1"/>
  <c r="AP42" i="24"/>
  <c r="AQ52" i="24"/>
  <c r="AP67" i="24"/>
  <c r="AP72" i="24" s="1"/>
  <c r="AP66" i="24"/>
  <c r="AN79" i="24"/>
  <c r="AN78" i="2" s="1"/>
  <c r="D27" i="23"/>
  <c r="AR16" i="22"/>
  <c r="AR27" i="22" s="1"/>
  <c r="AR17" i="22"/>
  <c r="AR28" i="22" s="1"/>
  <c r="AP39" i="21"/>
  <c r="AP71" i="21" s="1"/>
  <c r="AP51" i="2" s="1"/>
  <c r="AP40" i="21"/>
  <c r="AP72" i="21" s="1"/>
  <c r="AP70" i="2" s="1"/>
  <c r="AP41" i="21"/>
  <c r="AP73" i="21" s="1"/>
  <c r="AP89" i="2" s="1"/>
  <c r="AO41" i="21"/>
  <c r="AO73" i="21" s="1"/>
  <c r="AO89" i="2" s="1"/>
  <c r="AO39" i="21"/>
  <c r="AO71" i="21" s="1"/>
  <c r="AO51" i="2" s="1"/>
  <c r="AO40" i="21"/>
  <c r="AO72" i="21" s="1"/>
  <c r="AO70" i="2" s="1"/>
  <c r="AQ36" i="21"/>
  <c r="D57" i="21"/>
  <c r="AQ62" i="21"/>
  <c r="AR49" i="21"/>
  <c r="AI38" i="22"/>
  <c r="AI40" i="22"/>
  <c r="AI39" i="22"/>
  <c r="D45" i="21"/>
  <c r="AJ34" i="22"/>
  <c r="AK13" i="22"/>
  <c r="AK33" i="22" s="1"/>
  <c r="AR15" i="22"/>
  <c r="AR26" i="22" s="1"/>
  <c r="D22" i="22"/>
  <c r="AJ13" i="21"/>
  <c r="AQ31" i="21"/>
  <c r="AQ30" i="21"/>
  <c r="D35" i="21"/>
  <c r="AR62" i="21"/>
  <c r="AR15" i="21"/>
  <c r="AR60" i="21" s="1"/>
  <c r="AR43" i="23" l="1"/>
  <c r="D43" i="23" s="1"/>
  <c r="AR42" i="23"/>
  <c r="D42" i="23" s="1"/>
  <c r="D28" i="23"/>
  <c r="D29" i="23"/>
  <c r="AR68" i="26"/>
  <c r="D68" i="26" s="1"/>
  <c r="AO77" i="24"/>
  <c r="AO40" i="2" s="1"/>
  <c r="AO79" i="24"/>
  <c r="AO78" i="2" s="1"/>
  <c r="AP71" i="24"/>
  <c r="AP73" i="24" s="1"/>
  <c r="AP77" i="24" s="1"/>
  <c r="AP40" i="2" s="1"/>
  <c r="AP68" i="24"/>
  <c r="AQ66" i="24"/>
  <c r="AQ67" i="24"/>
  <c r="AQ72" i="24" s="1"/>
  <c r="AQ45" i="24"/>
  <c r="AQ47" i="24" s="1"/>
  <c r="AQ42" i="24"/>
  <c r="D41" i="23"/>
  <c r="AR52" i="24"/>
  <c r="D22" i="24"/>
  <c r="AR41" i="24"/>
  <c r="AR40" i="24"/>
  <c r="D60" i="21"/>
  <c r="D62" i="21"/>
  <c r="D61" i="21"/>
  <c r="AQ39" i="21"/>
  <c r="AQ71" i="21" s="1"/>
  <c r="AQ51" i="2" s="1"/>
  <c r="AQ40" i="21"/>
  <c r="AQ72" i="21" s="1"/>
  <c r="AQ70" i="2" s="1"/>
  <c r="AQ41" i="21"/>
  <c r="AQ73" i="21" s="1"/>
  <c r="AQ89" i="2" s="1"/>
  <c r="AJ38" i="22"/>
  <c r="AJ39" i="22"/>
  <c r="AJ40" i="22"/>
  <c r="AH33" i="22"/>
  <c r="AK34" i="22"/>
  <c r="AL13" i="22"/>
  <c r="AL33" i="22" s="1"/>
  <c r="AR44" i="22"/>
  <c r="D44" i="22" s="1"/>
  <c r="D26" i="22"/>
  <c r="D27" i="22"/>
  <c r="AR45" i="22"/>
  <c r="D45" i="22" s="1"/>
  <c r="D28" i="22"/>
  <c r="AR46" i="22"/>
  <c r="D46" i="22" s="1"/>
  <c r="AK13" i="21"/>
  <c r="AR30" i="21"/>
  <c r="AR31" i="21"/>
  <c r="AR32" i="21"/>
  <c r="D27" i="21"/>
  <c r="AP79" i="24" l="1"/>
  <c r="AP78" i="2" s="1"/>
  <c r="AP78" i="24"/>
  <c r="AP59" i="2" s="1"/>
  <c r="AR46" i="24"/>
  <c r="D46" i="24" s="1"/>
  <c r="D41" i="24"/>
  <c r="AQ68" i="24"/>
  <c r="AQ71" i="24"/>
  <c r="AQ73" i="24" s="1"/>
  <c r="AQ78" i="24" s="1"/>
  <c r="AQ59" i="2" s="1"/>
  <c r="AR66" i="24"/>
  <c r="AR67" i="24"/>
  <c r="D52" i="24"/>
  <c r="AR45" i="24"/>
  <c r="AR42" i="24"/>
  <c r="D42" i="24" s="1"/>
  <c r="D40" i="24"/>
  <c r="AR36" i="21"/>
  <c r="AK38" i="22"/>
  <c r="AK39" i="22"/>
  <c r="AK40" i="22"/>
  <c r="AL34" i="22"/>
  <c r="AM13" i="22"/>
  <c r="AM33" i="22" s="1"/>
  <c r="AH34" i="22"/>
  <c r="D30" i="21"/>
  <c r="AL13" i="21"/>
  <c r="D31" i="21"/>
  <c r="D32" i="21"/>
  <c r="AQ77" i="24" l="1"/>
  <c r="AQ40" i="2" s="1"/>
  <c r="AQ79" i="24"/>
  <c r="AQ78" i="2" s="1"/>
  <c r="AR47" i="24"/>
  <c r="D45" i="24"/>
  <c r="AR72" i="24"/>
  <c r="D72" i="24" s="1"/>
  <c r="D67" i="24"/>
  <c r="AR71" i="24"/>
  <c r="AR68" i="24"/>
  <c r="D68" i="24" s="1"/>
  <c r="D66" i="24"/>
  <c r="D36" i="21"/>
  <c r="AR41" i="21"/>
  <c r="AR39" i="21"/>
  <c r="AR40" i="21"/>
  <c r="AH40" i="22"/>
  <c r="AH38" i="22"/>
  <c r="AH39" i="22"/>
  <c r="AL38" i="22"/>
  <c r="AL39" i="22"/>
  <c r="AL40" i="22"/>
  <c r="AN13" i="22"/>
  <c r="AN33" i="22" s="1"/>
  <c r="AM13" i="21"/>
  <c r="AR73" i="24" l="1"/>
  <c r="AR78" i="24" s="1"/>
  <c r="D71" i="24"/>
  <c r="D47" i="24"/>
  <c r="D40" i="21"/>
  <c r="AR72" i="21"/>
  <c r="D39" i="21"/>
  <c r="AR71" i="21"/>
  <c r="D41" i="21"/>
  <c r="AR73" i="21"/>
  <c r="AM34" i="22"/>
  <c r="AO13" i="22"/>
  <c r="AO33" i="22" s="1"/>
  <c r="AN13" i="21"/>
  <c r="D71" i="21" l="1"/>
  <c r="AR51" i="2"/>
  <c r="D51" i="2" s="1"/>
  <c r="C26" i="2" s="1"/>
  <c r="D72" i="21"/>
  <c r="AR70" i="2"/>
  <c r="D70" i="2" s="1"/>
  <c r="D26" i="2" s="1"/>
  <c r="D73" i="21"/>
  <c r="AR89" i="2"/>
  <c r="D89" i="2" s="1"/>
  <c r="E26" i="2" s="1"/>
  <c r="D78" i="24"/>
  <c r="AR59" i="2"/>
  <c r="AR79" i="24"/>
  <c r="AR77" i="24"/>
  <c r="AR40" i="2" s="1"/>
  <c r="D40" i="2" s="1"/>
  <c r="C13" i="2" s="1"/>
  <c r="D73" i="24"/>
  <c r="AM39" i="22"/>
  <c r="AM40" i="22"/>
  <c r="AM38" i="22"/>
  <c r="AO34" i="22"/>
  <c r="AP13" i="22"/>
  <c r="AP33" i="22" s="1"/>
  <c r="AN34" i="22"/>
  <c r="AO13" i="21"/>
  <c r="J32" i="10" l="1"/>
  <c r="L17" i="10"/>
  <c r="L27" i="10"/>
  <c r="K17" i="10"/>
  <c r="K27" i="10"/>
  <c r="J17" i="10"/>
  <c r="J27" i="10"/>
  <c r="D59" i="2"/>
  <c r="D13" i="2" s="1"/>
  <c r="K32" i="10" s="1"/>
  <c r="D79" i="24"/>
  <c r="AR78" i="2"/>
  <c r="D77" i="24"/>
  <c r="AN39" i="22"/>
  <c r="AN40" i="22"/>
  <c r="AN38" i="22"/>
  <c r="AO40" i="22"/>
  <c r="AO39" i="22"/>
  <c r="AO38" i="22"/>
  <c r="AP34" i="22"/>
  <c r="AQ13" i="22"/>
  <c r="AQ33" i="22" s="1"/>
  <c r="AP13" i="21"/>
  <c r="D78" i="2" l="1"/>
  <c r="E13" i="2" s="1"/>
  <c r="AP40" i="22"/>
  <c r="AP38" i="22"/>
  <c r="AP39" i="22"/>
  <c r="AQ34" i="22"/>
  <c r="AR13" i="22"/>
  <c r="AR33" i="22" s="1"/>
  <c r="AQ13" i="21"/>
  <c r="L32" i="10" l="1"/>
  <c r="F4" i="10"/>
  <c r="AQ38" i="22"/>
  <c r="AQ39" i="22"/>
  <c r="AQ40" i="22"/>
  <c r="D33" i="22"/>
  <c r="AR13" i="21"/>
  <c r="AR34" i="22" l="1"/>
  <c r="D34" i="22" l="1"/>
  <c r="AR38" i="22"/>
  <c r="AR39" i="22"/>
  <c r="AR40" i="22"/>
  <c r="AO50" i="22" l="1"/>
  <c r="AO55" i="22" s="1"/>
  <c r="AO65" i="2" s="1"/>
  <c r="N51" i="22"/>
  <c r="N56" i="22" s="1"/>
  <c r="N84" i="2" s="1"/>
  <c r="G50" i="22"/>
  <c r="G55" i="22" s="1"/>
  <c r="G65" i="2" s="1"/>
  <c r="AP51" i="22"/>
  <c r="AP56" i="22" s="1"/>
  <c r="AP84" i="2" s="1"/>
  <c r="H49" i="22"/>
  <c r="H54" i="22" s="1"/>
  <c r="H46" i="2" s="1"/>
  <c r="T51" i="22"/>
  <c r="T56" i="22" s="1"/>
  <c r="T84" i="2" s="1"/>
  <c r="AG49" i="22"/>
  <c r="AG54" i="22" s="1"/>
  <c r="AG46" i="2" s="1"/>
  <c r="AH50" i="22"/>
  <c r="AH55" i="22" s="1"/>
  <c r="AH65" i="2" s="1"/>
  <c r="X49" i="22"/>
  <c r="X54" i="22" s="1"/>
  <c r="X46" i="2" s="1"/>
  <c r="AR50" i="22"/>
  <c r="AR55" i="22" s="1"/>
  <c r="AR65" i="2" s="1"/>
  <c r="AO51" i="22"/>
  <c r="AO56" i="22" s="1"/>
  <c r="AO84" i="2" s="1"/>
  <c r="R50" i="22"/>
  <c r="R55" i="22" s="1"/>
  <c r="R65" i="2" s="1"/>
  <c r="AG51" i="22"/>
  <c r="AG56" i="22" s="1"/>
  <c r="AG84" i="2" s="1"/>
  <c r="U51" i="22"/>
  <c r="U56" i="22" s="1"/>
  <c r="U84" i="2" s="1"/>
  <c r="AD51" i="22"/>
  <c r="AD56" i="22" s="1"/>
  <c r="AD84" i="2" s="1"/>
  <c r="Y49" i="22"/>
  <c r="Y54" i="22" s="1"/>
  <c r="Y46" i="2" s="1"/>
  <c r="AP50" i="22"/>
  <c r="AP55" i="22" s="1"/>
  <c r="AP65" i="2" s="1"/>
  <c r="W50" i="22"/>
  <c r="W55" i="22" s="1"/>
  <c r="W65" i="2" s="1"/>
  <c r="G51" i="22"/>
  <c r="G56" i="22" s="1"/>
  <c r="G84" i="2" s="1"/>
  <c r="Y51" i="22"/>
  <c r="Y56" i="22" s="1"/>
  <c r="Y84" i="2" s="1"/>
  <c r="AJ51" i="22"/>
  <c r="AJ56" i="22" s="1"/>
  <c r="AJ84" i="2" s="1"/>
  <c r="P50" i="22"/>
  <c r="P55" i="22" s="1"/>
  <c r="P65" i="2" s="1"/>
  <c r="AD50" i="22"/>
  <c r="AD55" i="22" s="1"/>
  <c r="AD65" i="2" s="1"/>
  <c r="H50" i="22"/>
  <c r="H55" i="22" s="1"/>
  <c r="H65" i="2" s="1"/>
  <c r="AF49" i="22"/>
  <c r="AF54" i="22" s="1"/>
  <c r="AF46" i="2" s="1"/>
  <c r="AB51" i="22"/>
  <c r="AB56" i="22" s="1"/>
  <c r="AB84" i="2" s="1"/>
  <c r="AA49" i="22"/>
  <c r="AA54" i="22" s="1"/>
  <c r="AA46" i="2" s="1"/>
  <c r="N49" i="22"/>
  <c r="N54" i="22" s="1"/>
  <c r="N46" i="2" s="1"/>
  <c r="I49" i="22"/>
  <c r="I54" i="22" s="1"/>
  <c r="I46" i="2" s="1"/>
  <c r="Y50" i="22"/>
  <c r="Y55" i="22" s="1"/>
  <c r="Y65" i="2" s="1"/>
  <c r="H51" i="22"/>
  <c r="H56" i="22" s="1"/>
  <c r="H84" i="2" s="1"/>
  <c r="U50" i="22"/>
  <c r="U55" i="22" s="1"/>
  <c r="U65" i="2" s="1"/>
  <c r="AI49" i="22"/>
  <c r="AI54" i="22" s="1"/>
  <c r="AI46" i="2" s="1"/>
  <c r="S51" i="22"/>
  <c r="S56" i="22" s="1"/>
  <c r="S84" i="2" s="1"/>
  <c r="AN49" i="22"/>
  <c r="AN54" i="22" s="1"/>
  <c r="AN46" i="2" s="1"/>
  <c r="K51" i="22"/>
  <c r="K56" i="22" s="1"/>
  <c r="K84" i="2" s="1"/>
  <c r="AI51" i="22"/>
  <c r="AI56" i="22" s="1"/>
  <c r="AI84" i="2" s="1"/>
  <c r="AC51" i="22"/>
  <c r="AC56" i="22" s="1"/>
  <c r="AC84" i="2" s="1"/>
  <c r="R49" i="22"/>
  <c r="R54" i="22" s="1"/>
  <c r="R46" i="2" s="1"/>
  <c r="Q50" i="22"/>
  <c r="Q55" i="22" s="1"/>
  <c r="Q65" i="2" s="1"/>
  <c r="AM49" i="22"/>
  <c r="AM54" i="22" s="1"/>
  <c r="AM46" i="2" s="1"/>
  <c r="J50" i="22"/>
  <c r="J55" i="22" s="1"/>
  <c r="J65" i="2" s="1"/>
  <c r="Z49" i="22"/>
  <c r="Z54" i="22" s="1"/>
  <c r="Z46" i="2" s="1"/>
  <c r="L51" i="22"/>
  <c r="L56" i="22" s="1"/>
  <c r="L84" i="2" s="1"/>
  <c r="AB49" i="22"/>
  <c r="AB54" i="22" s="1"/>
  <c r="AB46" i="2" s="1"/>
  <c r="AN51" i="22"/>
  <c r="AN56" i="22" s="1"/>
  <c r="AN84" i="2" s="1"/>
  <c r="I50" i="22"/>
  <c r="I55" i="22" s="1"/>
  <c r="I65" i="2" s="1"/>
  <c r="X51" i="22"/>
  <c r="X56" i="22" s="1"/>
  <c r="X84" i="2" s="1"/>
  <c r="AH49" i="22"/>
  <c r="AH54" i="22" s="1"/>
  <c r="AH46" i="2" s="1"/>
  <c r="AK49" i="22"/>
  <c r="AK54" i="22" s="1"/>
  <c r="AK46" i="2" s="1"/>
  <c r="T50" i="22"/>
  <c r="T55" i="22" s="1"/>
  <c r="T65" i="2" s="1"/>
  <c r="Z51" i="22"/>
  <c r="Z56" i="22" s="1"/>
  <c r="Z84" i="2" s="1"/>
  <c r="K50" i="22"/>
  <c r="K55" i="22" s="1"/>
  <c r="K65" i="2" s="1"/>
  <c r="S50" i="22"/>
  <c r="S55" i="22" s="1"/>
  <c r="S65" i="2" s="1"/>
  <c r="AG50" i="22"/>
  <c r="AG55" i="22" s="1"/>
  <c r="AG65" i="2" s="1"/>
  <c r="M49" i="22"/>
  <c r="M54" i="22" s="1"/>
  <c r="M46" i="2" s="1"/>
  <c r="V50" i="22"/>
  <c r="V55" i="22" s="1"/>
  <c r="V65" i="2" s="1"/>
  <c r="AO49" i="22"/>
  <c r="AO54" i="22" s="1"/>
  <c r="AO46" i="2" s="1"/>
  <c r="V49" i="22"/>
  <c r="V54" i="22" s="1"/>
  <c r="V46" i="2" s="1"/>
  <c r="U49" i="22"/>
  <c r="U54" i="22" s="1"/>
  <c r="U46" i="2" s="1"/>
  <c r="AI50" i="22"/>
  <c r="AI55" i="22" s="1"/>
  <c r="AI65" i="2" s="1"/>
  <c r="AE51" i="22"/>
  <c r="AE56" i="22" s="1"/>
  <c r="AE84" i="2" s="1"/>
  <c r="AE49" i="22"/>
  <c r="AE54" i="22" s="1"/>
  <c r="AE46" i="2" s="1"/>
  <c r="W49" i="22"/>
  <c r="W54" i="22" s="1"/>
  <c r="W46" i="2" s="1"/>
  <c r="AE50" i="22"/>
  <c r="AE55" i="22" s="1"/>
  <c r="AE65" i="2" s="1"/>
  <c r="AD49" i="22"/>
  <c r="AD54" i="22" s="1"/>
  <c r="AD46" i="2" s="1"/>
  <c r="AK51" i="22"/>
  <c r="AK56" i="22" s="1"/>
  <c r="AK84" i="2" s="1"/>
  <c r="O50" i="22"/>
  <c r="O55" i="22" s="1"/>
  <c r="O65" i="2" s="1"/>
  <c r="AB50" i="22"/>
  <c r="AB55" i="22" s="1"/>
  <c r="AB65" i="2" s="1"/>
  <c r="R51" i="22"/>
  <c r="R56" i="22" s="1"/>
  <c r="R84" i="2" s="1"/>
  <c r="L49" i="22"/>
  <c r="L54" i="22" s="1"/>
  <c r="L46" i="2" s="1"/>
  <c r="O51" i="22"/>
  <c r="O56" i="22" s="1"/>
  <c r="O84" i="2" s="1"/>
  <c r="Q49" i="22"/>
  <c r="Q54" i="22" s="1"/>
  <c r="Q46" i="2" s="1"/>
  <c r="AM51" i="22"/>
  <c r="AM56" i="22" s="1"/>
  <c r="AM84" i="2" s="1"/>
  <c r="L50" i="22"/>
  <c r="L55" i="22" s="1"/>
  <c r="L65" i="2" s="1"/>
  <c r="AJ49" i="22"/>
  <c r="AJ54" i="22" s="1"/>
  <c r="AJ46" i="2" s="1"/>
  <c r="AM50" i="22"/>
  <c r="AM55" i="22" s="1"/>
  <c r="AM65" i="2" s="1"/>
  <c r="AL50" i="22"/>
  <c r="AL55" i="22" s="1"/>
  <c r="AL65" i="2" s="1"/>
  <c r="AR49" i="22"/>
  <c r="AR54" i="22" s="1"/>
  <c r="AR46" i="2" s="1"/>
  <c r="T49" i="22"/>
  <c r="T54" i="22" s="1"/>
  <c r="T46" i="2" s="1"/>
  <c r="S49" i="22"/>
  <c r="S54" i="22" s="1"/>
  <c r="S46" i="2" s="1"/>
  <c r="K49" i="22"/>
  <c r="K54" i="22" s="1"/>
  <c r="K46" i="2" s="1"/>
  <c r="J49" i="22"/>
  <c r="J54" i="22" s="1"/>
  <c r="J46" i="2" s="1"/>
  <c r="AF50" i="22"/>
  <c r="AF55" i="22" s="1"/>
  <c r="AF65" i="2" s="1"/>
  <c r="O49" i="22"/>
  <c r="O54" i="22" s="1"/>
  <c r="O46" i="2" s="1"/>
  <c r="AC49" i="22"/>
  <c r="AC54" i="22" s="1"/>
  <c r="AC46" i="2" s="1"/>
  <c r="Z50" i="22"/>
  <c r="Z55" i="22" s="1"/>
  <c r="Z65" i="2" s="1"/>
  <c r="M51" i="22"/>
  <c r="M56" i="22" s="1"/>
  <c r="M84" i="2" s="1"/>
  <c r="P51" i="22"/>
  <c r="P56" i="22" s="1"/>
  <c r="P84" i="2" s="1"/>
  <c r="AJ50" i="22"/>
  <c r="AJ55" i="22" s="1"/>
  <c r="AJ65" i="2" s="1"/>
  <c r="AQ49" i="22"/>
  <c r="AQ54" i="22" s="1"/>
  <c r="AQ46" i="2" s="1"/>
  <c r="W51" i="22"/>
  <c r="W56" i="22" s="1"/>
  <c r="W84" i="2" s="1"/>
  <c r="V51" i="22"/>
  <c r="V56" i="22" s="1"/>
  <c r="V84" i="2" s="1"/>
  <c r="AC50" i="22"/>
  <c r="AC55" i="22" s="1"/>
  <c r="AC65" i="2" s="1"/>
  <c r="AN50" i="22"/>
  <c r="AN55" i="22" s="1"/>
  <c r="AN65" i="2" s="1"/>
  <c r="AQ51" i="22"/>
  <c r="AQ56" i="22" s="1"/>
  <c r="AQ84" i="2" s="1"/>
  <c r="AA50" i="22"/>
  <c r="AA55" i="22" s="1"/>
  <c r="AA65" i="2" s="1"/>
  <c r="M50" i="22"/>
  <c r="M55" i="22" s="1"/>
  <c r="M65" i="2" s="1"/>
  <c r="P49" i="22"/>
  <c r="P54" i="22" s="1"/>
  <c r="P46" i="2" s="1"/>
  <c r="N50" i="22"/>
  <c r="N55" i="22" s="1"/>
  <c r="N65" i="2" s="1"/>
  <c r="G49" i="22"/>
  <c r="G54" i="22" s="1"/>
  <c r="G46" i="2" s="1"/>
  <c r="AP49" i="22"/>
  <c r="AP54" i="22" s="1"/>
  <c r="AP46" i="2" s="1"/>
  <c r="X50" i="22"/>
  <c r="X55" i="22" s="1"/>
  <c r="X65" i="2" s="1"/>
  <c r="AL51" i="22"/>
  <c r="AL56" i="22" s="1"/>
  <c r="AL84" i="2" s="1"/>
  <c r="AL49" i="22"/>
  <c r="AL54" i="22" s="1"/>
  <c r="AL46" i="2" s="1"/>
  <c r="I51" i="22"/>
  <c r="I56" i="22" s="1"/>
  <c r="I84" i="2" s="1"/>
  <c r="AA51" i="22"/>
  <c r="AA56" i="22" s="1"/>
  <c r="AA84" i="2" s="1"/>
  <c r="F50" i="22"/>
  <c r="F55" i="22" s="1"/>
  <c r="F65" i="2" s="1"/>
  <c r="AQ50" i="22"/>
  <c r="AQ55" i="22" s="1"/>
  <c r="AQ65" i="2" s="1"/>
  <c r="AR51" i="22"/>
  <c r="AR56" i="22" s="1"/>
  <c r="AR84" i="2" s="1"/>
  <c r="AF51" i="22"/>
  <c r="AF56" i="22" s="1"/>
  <c r="AF84" i="2" s="1"/>
  <c r="AH51" i="22"/>
  <c r="AH56" i="22" s="1"/>
  <c r="AH84" i="2" s="1"/>
  <c r="D38" i="22"/>
  <c r="F49" i="22"/>
  <c r="F54" i="22" s="1"/>
  <c r="F46" i="2" s="1"/>
  <c r="Q51" i="22"/>
  <c r="Q56" i="22" s="1"/>
  <c r="Q84" i="2" s="1"/>
  <c r="AK50" i="22"/>
  <c r="AK55" i="22" s="1"/>
  <c r="AK65" i="2" s="1"/>
  <c r="F51" i="22"/>
  <c r="F56" i="22" s="1"/>
  <c r="F84" i="2" s="1"/>
  <c r="D65" i="2" l="1"/>
  <c r="D19" i="2" s="1"/>
  <c r="K38" i="10" s="1"/>
  <c r="D46" i="2"/>
  <c r="C19" i="2" s="1"/>
  <c r="J38" i="10" s="1"/>
  <c r="D55" i="22"/>
  <c r="D50" i="22"/>
  <c r="D40" i="22"/>
  <c r="J51" i="22"/>
  <c r="D49" i="22"/>
  <c r="D54" i="22"/>
  <c r="D39" i="22"/>
  <c r="J56" i="22" l="1"/>
  <c r="D51" i="22"/>
  <c r="AI54" i="21"/>
  <c r="AI68" i="21" s="1"/>
  <c r="AF52" i="21"/>
  <c r="AF66" i="21" s="1"/>
  <c r="I52" i="21"/>
  <c r="I66" i="21" s="1"/>
  <c r="AH52" i="21"/>
  <c r="AH66" i="21" s="1"/>
  <c r="W52" i="21"/>
  <c r="W66" i="21" s="1"/>
  <c r="AI53" i="21"/>
  <c r="AI67" i="21" s="1"/>
  <c r="AB54" i="21"/>
  <c r="AB68" i="21" s="1"/>
  <c r="J53" i="21"/>
  <c r="J67" i="21" s="1"/>
  <c r="V52" i="21"/>
  <c r="V66" i="21" s="1"/>
  <c r="I53" i="21"/>
  <c r="I67" i="21" s="1"/>
  <c r="AQ54" i="21"/>
  <c r="AQ68" i="21" s="1"/>
  <c r="N53" i="21"/>
  <c r="N67" i="21" s="1"/>
  <c r="AQ53" i="21"/>
  <c r="AQ67" i="21" s="1"/>
  <c r="AE53" i="21"/>
  <c r="AE67" i="21" s="1"/>
  <c r="V53" i="21"/>
  <c r="V67" i="21" s="1"/>
  <c r="R53" i="21"/>
  <c r="R67" i="21" s="1"/>
  <c r="T52" i="21"/>
  <c r="T66" i="21" s="1"/>
  <c r="O52" i="21"/>
  <c r="O66" i="21" s="1"/>
  <c r="X52" i="21"/>
  <c r="X66" i="21" s="1"/>
  <c r="AK54" i="21"/>
  <c r="AK68" i="21" s="1"/>
  <c r="AI52" i="21"/>
  <c r="AI66" i="21" s="1"/>
  <c r="U54" i="21"/>
  <c r="U68" i="21" s="1"/>
  <c r="U52" i="21"/>
  <c r="U66" i="21" s="1"/>
  <c r="Q53" i="21"/>
  <c r="Q67" i="21" s="1"/>
  <c r="AC53" i="21"/>
  <c r="AC67" i="21" s="1"/>
  <c r="T54" i="21"/>
  <c r="T68" i="21" s="1"/>
  <c r="AM53" i="21"/>
  <c r="AM67" i="21" s="1"/>
  <c r="AG54" i="21"/>
  <c r="AG68" i="21" s="1"/>
  <c r="AA52" i="21"/>
  <c r="AA66" i="21" s="1"/>
  <c r="AG52" i="21"/>
  <c r="AG66" i="21" s="1"/>
  <c r="AM54" i="21"/>
  <c r="AM68" i="21" s="1"/>
  <c r="L52" i="21"/>
  <c r="L66" i="21" s="1"/>
  <c r="P54" i="21"/>
  <c r="P68" i="21" s="1"/>
  <c r="Q54" i="21"/>
  <c r="Q68" i="21" s="1"/>
  <c r="AD52" i="21"/>
  <c r="AD66" i="21" s="1"/>
  <c r="M54" i="21"/>
  <c r="M68" i="21" s="1"/>
  <c r="AL53" i="21"/>
  <c r="AL67" i="21" s="1"/>
  <c r="Z52" i="21"/>
  <c r="Z66" i="21" s="1"/>
  <c r="N52" i="21"/>
  <c r="N66" i="21" s="1"/>
  <c r="W54" i="21"/>
  <c r="W68" i="21" s="1"/>
  <c r="X53" i="21"/>
  <c r="X67" i="21" s="1"/>
  <c r="AB52" i="21"/>
  <c r="AB66" i="21" s="1"/>
  <c r="AG53" i="21"/>
  <c r="AG67" i="21" s="1"/>
  <c r="W53" i="21"/>
  <c r="W67" i="21" s="1"/>
  <c r="O54" i="21"/>
  <c r="O68" i="21" s="1"/>
  <c r="Y54" i="21"/>
  <c r="Y68" i="21" s="1"/>
  <c r="AN52" i="21"/>
  <c r="AN66" i="21" s="1"/>
  <c r="AK52" i="21"/>
  <c r="AK66" i="21" s="1"/>
  <c r="AP53" i="21"/>
  <c r="AP67" i="21" s="1"/>
  <c r="AN53" i="21"/>
  <c r="AN67" i="21" s="1"/>
  <c r="G53" i="21"/>
  <c r="G67" i="21" s="1"/>
  <c r="AJ52" i="21"/>
  <c r="AJ66" i="21" s="1"/>
  <c r="H54" i="21"/>
  <c r="H68" i="21" s="1"/>
  <c r="L53" i="21"/>
  <c r="L67" i="21" s="1"/>
  <c r="AL54" i="21"/>
  <c r="AL68" i="21" s="1"/>
  <c r="AO52" i="21"/>
  <c r="AO66" i="21" s="1"/>
  <c r="O53" i="21"/>
  <c r="O67" i="21" s="1"/>
  <c r="K52" i="21"/>
  <c r="K66" i="21" s="1"/>
  <c r="V54" i="21"/>
  <c r="V68" i="21" s="1"/>
  <c r="AR52" i="21"/>
  <c r="AR66" i="21" s="1"/>
  <c r="H53" i="21"/>
  <c r="H67" i="21" s="1"/>
  <c r="AA54" i="21"/>
  <c r="AA68" i="21" s="1"/>
  <c r="AC52" i="21"/>
  <c r="AC66" i="21" s="1"/>
  <c r="M53" i="21"/>
  <c r="M67" i="21" s="1"/>
  <c r="AH53" i="21"/>
  <c r="AH67" i="21" s="1"/>
  <c r="AR53" i="21"/>
  <c r="AR67" i="21" s="1"/>
  <c r="K54" i="21"/>
  <c r="K68" i="21" s="1"/>
  <c r="AE54" i="21"/>
  <c r="AE68" i="21" s="1"/>
  <c r="AJ53" i="21"/>
  <c r="AJ67" i="21" s="1"/>
  <c r="S54" i="21"/>
  <c r="S68" i="21" s="1"/>
  <c r="Z53" i="21"/>
  <c r="Z67" i="21" s="1"/>
  <c r="D49" i="21"/>
  <c r="F54" i="21"/>
  <c r="F68" i="21" s="1"/>
  <c r="AB53" i="21"/>
  <c r="AB67" i="21" s="1"/>
  <c r="AD54" i="21"/>
  <c r="AD68" i="21" s="1"/>
  <c r="AP52" i="21"/>
  <c r="AP66" i="21" s="1"/>
  <c r="P53" i="21"/>
  <c r="P67" i="21" s="1"/>
  <c r="AE52" i="21"/>
  <c r="AE66" i="21" s="1"/>
  <c r="U53" i="21"/>
  <c r="U67" i="21" s="1"/>
  <c r="AJ54" i="21"/>
  <c r="AJ68" i="21" s="1"/>
  <c r="AP54" i="21"/>
  <c r="AP68" i="21" s="1"/>
  <c r="AN54" i="21"/>
  <c r="AN68" i="21" s="1"/>
  <c r="AH54" i="21"/>
  <c r="AH68" i="21" s="1"/>
  <c r="AM52" i="21"/>
  <c r="AM66" i="21" s="1"/>
  <c r="T53" i="21"/>
  <c r="T67" i="21" s="1"/>
  <c r="X54" i="21"/>
  <c r="X68" i="21" s="1"/>
  <c r="Z54" i="21"/>
  <c r="Z68" i="21" s="1"/>
  <c r="N54" i="21"/>
  <c r="N68" i="21" s="1"/>
  <c r="G54" i="21"/>
  <c r="G68" i="21" s="1"/>
  <c r="R54" i="21"/>
  <c r="R68" i="21" s="1"/>
  <c r="J54" i="21"/>
  <c r="J68" i="21" s="1"/>
  <c r="AA53" i="21"/>
  <c r="AA67" i="21" s="1"/>
  <c r="Y52" i="21"/>
  <c r="Y66" i="21" s="1"/>
  <c r="R52" i="21"/>
  <c r="R66" i="21" s="1"/>
  <c r="AQ52" i="21"/>
  <c r="AQ66" i="21" s="1"/>
  <c r="AO53" i="21"/>
  <c r="AO67" i="21" s="1"/>
  <c r="AO54" i="21"/>
  <c r="AO68" i="21" s="1"/>
  <c r="AC54" i="21"/>
  <c r="AC68" i="21" s="1"/>
  <c r="G52" i="21"/>
  <c r="G66" i="21" s="1"/>
  <c r="K53" i="21"/>
  <c r="K67" i="21" s="1"/>
  <c r="L54" i="21"/>
  <c r="L68" i="21" s="1"/>
  <c r="AL52" i="21"/>
  <c r="AL66" i="21" s="1"/>
  <c r="AF54" i="21"/>
  <c r="AF68" i="21" s="1"/>
  <c r="AF53" i="21"/>
  <c r="AF67" i="21" s="1"/>
  <c r="F53" i="21"/>
  <c r="F67" i="21" s="1"/>
  <c r="I54" i="21"/>
  <c r="I68" i="21" s="1"/>
  <c r="AK53" i="21"/>
  <c r="AK67" i="21" s="1"/>
  <c r="Q52" i="21"/>
  <c r="Q66" i="21" s="1"/>
  <c r="AR54" i="21"/>
  <c r="AR68" i="21" s="1"/>
  <c r="J52" i="21"/>
  <c r="J66" i="21" s="1"/>
  <c r="S52" i="21"/>
  <c r="S66" i="21" s="1"/>
  <c r="P52" i="21"/>
  <c r="P66" i="21" s="1"/>
  <c r="AD53" i="21"/>
  <c r="AD67" i="21" s="1"/>
  <c r="M52" i="21"/>
  <c r="M66" i="21" s="1"/>
  <c r="F52" i="21"/>
  <c r="F66" i="21" s="1"/>
  <c r="S53" i="21"/>
  <c r="S67" i="21" s="1"/>
  <c r="H52" i="21"/>
  <c r="H66" i="21" s="1"/>
  <c r="Y53" i="21"/>
  <c r="Y67" i="21" s="1"/>
  <c r="Y77" i="21" l="1"/>
  <c r="Y69" i="2"/>
  <c r="Y71" i="2" s="1"/>
  <c r="S78" i="21"/>
  <c r="S88" i="2"/>
  <c r="S90" i="2" s="1"/>
  <c r="Z76" i="21"/>
  <c r="Z50" i="2"/>
  <c r="Z52" i="2" s="1"/>
  <c r="AR78" i="21"/>
  <c r="AR88" i="2"/>
  <c r="AR90" i="2" s="1"/>
  <c r="L78" i="21"/>
  <c r="L88" i="2"/>
  <c r="L90" i="2" s="1"/>
  <c r="Y76" i="21"/>
  <c r="Y50" i="2"/>
  <c r="Y52" i="2" s="1"/>
  <c r="T77" i="21"/>
  <c r="T69" i="2"/>
  <c r="T71" i="2" s="1"/>
  <c r="P77" i="21"/>
  <c r="P69" i="2"/>
  <c r="P71" i="2" s="1"/>
  <c r="AJ77" i="21"/>
  <c r="AJ69" i="2"/>
  <c r="AJ71" i="2" s="1"/>
  <c r="H77" i="21"/>
  <c r="H69" i="2"/>
  <c r="H71" i="2" s="1"/>
  <c r="H78" i="21"/>
  <c r="H88" i="2"/>
  <c r="H90" i="2" s="1"/>
  <c r="O78" i="21"/>
  <c r="O88" i="2"/>
  <c r="O90" i="2" s="1"/>
  <c r="AL77" i="21"/>
  <c r="AL69" i="2"/>
  <c r="AL71" i="2" s="1"/>
  <c r="AA76" i="21"/>
  <c r="AA50" i="2"/>
  <c r="AA52" i="2" s="1"/>
  <c r="AI76" i="21"/>
  <c r="AI50" i="2"/>
  <c r="AI52" i="2" s="1"/>
  <c r="AQ77" i="21"/>
  <c r="AQ69" i="2"/>
  <c r="AQ71" i="2" s="1"/>
  <c r="W76" i="21"/>
  <c r="W50" i="2"/>
  <c r="W52" i="2" s="1"/>
  <c r="X78" i="21"/>
  <c r="X88" i="2"/>
  <c r="X90" i="2" s="1"/>
  <c r="AG76" i="21"/>
  <c r="AG50" i="2"/>
  <c r="AG52" i="2" s="1"/>
  <c r="Q76" i="21"/>
  <c r="Q50" i="2"/>
  <c r="Q52" i="2" s="1"/>
  <c r="AE78" i="21"/>
  <c r="AE88" i="2"/>
  <c r="AE90" i="2" s="1"/>
  <c r="AJ76" i="21"/>
  <c r="AJ50" i="2"/>
  <c r="AJ52" i="2" s="1"/>
  <c r="W77" i="21"/>
  <c r="W69" i="2"/>
  <c r="W71" i="2" s="1"/>
  <c r="M78" i="21"/>
  <c r="M88" i="2"/>
  <c r="M90" i="2" s="1"/>
  <c r="AG78" i="21"/>
  <c r="AG88" i="2"/>
  <c r="AG90" i="2" s="1"/>
  <c r="AK78" i="21"/>
  <c r="AK88" i="2"/>
  <c r="AK90" i="2" s="1"/>
  <c r="N77" i="21"/>
  <c r="N69" i="2"/>
  <c r="N71" i="2" s="1"/>
  <c r="AH76" i="21"/>
  <c r="AH50" i="2"/>
  <c r="AH52" i="2" s="1"/>
  <c r="AE76" i="21"/>
  <c r="AE50" i="2"/>
  <c r="AE52" i="2" s="1"/>
  <c r="AE77" i="21"/>
  <c r="AE69" i="2"/>
  <c r="AE71" i="2" s="1"/>
  <c r="K77" i="21"/>
  <c r="K69" i="2"/>
  <c r="K71" i="2" s="1"/>
  <c r="G76" i="21"/>
  <c r="G50" i="2"/>
  <c r="G52" i="2" s="1"/>
  <c r="AH78" i="21"/>
  <c r="AH88" i="2"/>
  <c r="AH90" i="2" s="1"/>
  <c r="AD78" i="21"/>
  <c r="AD88" i="2"/>
  <c r="AD90" i="2" s="1"/>
  <c r="K78" i="21"/>
  <c r="K88" i="2"/>
  <c r="K90" i="2" s="1"/>
  <c r="V78" i="21"/>
  <c r="V88" i="2"/>
  <c r="V90" i="2" s="1"/>
  <c r="G77" i="21"/>
  <c r="G69" i="2"/>
  <c r="G71" i="2" s="1"/>
  <c r="AG77" i="21"/>
  <c r="AG69" i="2"/>
  <c r="AG71" i="2" s="1"/>
  <c r="AD76" i="21"/>
  <c r="AD50" i="2"/>
  <c r="AD52" i="2" s="1"/>
  <c r="AM77" i="21"/>
  <c r="AM69" i="2"/>
  <c r="AM71" i="2" s="1"/>
  <c r="X76" i="21"/>
  <c r="X50" i="2"/>
  <c r="X52" i="2" s="1"/>
  <c r="AQ78" i="21"/>
  <c r="AQ88" i="2"/>
  <c r="AQ90" i="2" s="1"/>
  <c r="I76" i="21"/>
  <c r="I50" i="2"/>
  <c r="I52" i="2" s="1"/>
  <c r="J76" i="21"/>
  <c r="J50" i="2"/>
  <c r="J52" i="2" s="1"/>
  <c r="L77" i="21"/>
  <c r="L69" i="2"/>
  <c r="L71" i="2" s="1"/>
  <c r="S77" i="21"/>
  <c r="S69" i="2"/>
  <c r="S71" i="2" s="1"/>
  <c r="AR76" i="21"/>
  <c r="AR50" i="2"/>
  <c r="AR52" i="2" s="1"/>
  <c r="M76" i="21"/>
  <c r="M50" i="2"/>
  <c r="M52" i="2" s="1"/>
  <c r="I78" i="21"/>
  <c r="I88" i="2"/>
  <c r="I90" i="2" s="1"/>
  <c r="AC78" i="21"/>
  <c r="AC88" i="2"/>
  <c r="AC90" i="2" s="1"/>
  <c r="R78" i="21"/>
  <c r="R88" i="2"/>
  <c r="R90" i="2" s="1"/>
  <c r="AN78" i="21"/>
  <c r="AN88" i="2"/>
  <c r="AN90" i="2" s="1"/>
  <c r="AB77" i="21"/>
  <c r="AB69" i="2"/>
  <c r="AB71" i="2" s="1"/>
  <c r="AR77" i="21"/>
  <c r="AR69" i="2"/>
  <c r="AR71" i="2" s="1"/>
  <c r="K76" i="21"/>
  <c r="K50" i="2"/>
  <c r="K52" i="2" s="1"/>
  <c r="AN77" i="21"/>
  <c r="AN69" i="2"/>
  <c r="AN71" i="2" s="1"/>
  <c r="AB76" i="21"/>
  <c r="AB50" i="2"/>
  <c r="AB52" i="2" s="1"/>
  <c r="Q78" i="21"/>
  <c r="Q88" i="2"/>
  <c r="Q90" i="2" s="1"/>
  <c r="T78" i="21"/>
  <c r="T88" i="2"/>
  <c r="T90" i="2" s="1"/>
  <c r="O76" i="21"/>
  <c r="O50" i="2"/>
  <c r="O52" i="2" s="1"/>
  <c r="I77" i="21"/>
  <c r="I69" i="2"/>
  <c r="I71" i="2" s="1"/>
  <c r="AF76" i="21"/>
  <c r="AF50" i="2"/>
  <c r="AF52" i="2" s="1"/>
  <c r="R76" i="21"/>
  <c r="R50" i="2"/>
  <c r="R52" i="2" s="1"/>
  <c r="U78" i="21"/>
  <c r="U88" i="2"/>
  <c r="U90" i="2" s="1"/>
  <c r="AM76" i="21"/>
  <c r="AM50" i="2"/>
  <c r="AM52" i="2" s="1"/>
  <c r="AK77" i="21"/>
  <c r="AK69" i="2"/>
  <c r="AK71" i="2" s="1"/>
  <c r="F77" i="21"/>
  <c r="F69" i="2"/>
  <c r="AP78" i="21"/>
  <c r="AP88" i="2"/>
  <c r="AP90" i="2" s="1"/>
  <c r="AH77" i="21"/>
  <c r="AH69" i="2"/>
  <c r="AH71" i="2" s="1"/>
  <c r="O77" i="21"/>
  <c r="O69" i="2"/>
  <c r="O71" i="2" s="1"/>
  <c r="AP77" i="21"/>
  <c r="AP69" i="2"/>
  <c r="AP71" i="2" s="1"/>
  <c r="X77" i="21"/>
  <c r="X69" i="2"/>
  <c r="X71" i="2" s="1"/>
  <c r="P78" i="21"/>
  <c r="P88" i="2"/>
  <c r="P90" i="2" s="1"/>
  <c r="AC77" i="21"/>
  <c r="AC69" i="2"/>
  <c r="AC71" i="2" s="1"/>
  <c r="T76" i="21"/>
  <c r="T50" i="2"/>
  <c r="T52" i="2" s="1"/>
  <c r="V76" i="21"/>
  <c r="V50" i="2"/>
  <c r="V52" i="2" s="1"/>
  <c r="AI78" i="21"/>
  <c r="AI88" i="2"/>
  <c r="AI90" i="2" s="1"/>
  <c r="AA78" i="21"/>
  <c r="AA88" i="2"/>
  <c r="AA90" i="2" s="1"/>
  <c r="AI77" i="21"/>
  <c r="AI69" i="2"/>
  <c r="AI71" i="2" s="1"/>
  <c r="AP76" i="21"/>
  <c r="AP50" i="2"/>
  <c r="AP52" i="2" s="1"/>
  <c r="F76" i="21"/>
  <c r="F50" i="2"/>
  <c r="AD77" i="21"/>
  <c r="AD69" i="2"/>
  <c r="AD71" i="2" s="1"/>
  <c r="G78" i="21"/>
  <c r="G88" i="2"/>
  <c r="G90" i="2" s="1"/>
  <c r="P76" i="21"/>
  <c r="P50" i="2"/>
  <c r="P52" i="2" s="1"/>
  <c r="AF77" i="21"/>
  <c r="AF69" i="2"/>
  <c r="AF71" i="2" s="1"/>
  <c r="AO77" i="21"/>
  <c r="AO69" i="2"/>
  <c r="AO71" i="2" s="1"/>
  <c r="N78" i="21"/>
  <c r="N88" i="2"/>
  <c r="N90" i="2" s="1"/>
  <c r="AJ78" i="21"/>
  <c r="AJ88" i="2"/>
  <c r="AJ90" i="2" s="1"/>
  <c r="M77" i="21"/>
  <c r="M69" i="2"/>
  <c r="M71" i="2" s="1"/>
  <c r="AO76" i="21"/>
  <c r="AO50" i="2"/>
  <c r="AO52" i="2" s="1"/>
  <c r="AK76" i="21"/>
  <c r="AK50" i="2"/>
  <c r="AK52" i="2" s="1"/>
  <c r="W78" i="21"/>
  <c r="W88" i="2"/>
  <c r="W90" i="2" s="1"/>
  <c r="L76" i="21"/>
  <c r="L50" i="2"/>
  <c r="L52" i="2" s="1"/>
  <c r="Q77" i="21"/>
  <c r="Q69" i="2"/>
  <c r="Q71" i="2" s="1"/>
  <c r="R77" i="21"/>
  <c r="R69" i="2"/>
  <c r="R71" i="2" s="1"/>
  <c r="J77" i="21"/>
  <c r="J69" i="2"/>
  <c r="J71" i="2" s="1"/>
  <c r="AL76" i="21"/>
  <c r="AL50" i="2"/>
  <c r="AL52" i="2" s="1"/>
  <c r="Y78" i="21"/>
  <c r="Y88" i="2"/>
  <c r="Y90" i="2" s="1"/>
  <c r="H76" i="21"/>
  <c r="H50" i="2"/>
  <c r="H52" i="2" s="1"/>
  <c r="AA77" i="21"/>
  <c r="AA69" i="2"/>
  <c r="AA71" i="2" s="1"/>
  <c r="J78" i="21"/>
  <c r="J88" i="2"/>
  <c r="J90" i="2" s="1"/>
  <c r="AO78" i="21"/>
  <c r="AO88" i="2"/>
  <c r="AO90" i="2" s="1"/>
  <c r="F78" i="21"/>
  <c r="F88" i="2"/>
  <c r="S76" i="21"/>
  <c r="S50" i="2"/>
  <c r="S52" i="2" s="1"/>
  <c r="AF78" i="21"/>
  <c r="AF88" i="2"/>
  <c r="AF90" i="2" s="1"/>
  <c r="AQ76" i="21"/>
  <c r="AQ50" i="2"/>
  <c r="AQ52" i="2" s="1"/>
  <c r="Z78" i="21"/>
  <c r="Z88" i="2"/>
  <c r="Z90" i="2" s="1"/>
  <c r="U77" i="21"/>
  <c r="U69" i="2"/>
  <c r="U71" i="2" s="1"/>
  <c r="Z77" i="21"/>
  <c r="Z69" i="2"/>
  <c r="Z71" i="2" s="1"/>
  <c r="AC76" i="21"/>
  <c r="AC50" i="2"/>
  <c r="AC52" i="2" s="1"/>
  <c r="AL78" i="21"/>
  <c r="AL88" i="2"/>
  <c r="AL90" i="2" s="1"/>
  <c r="AN76" i="21"/>
  <c r="AN50" i="2"/>
  <c r="AN52" i="2" s="1"/>
  <c r="N76" i="21"/>
  <c r="N50" i="2"/>
  <c r="N52" i="2" s="1"/>
  <c r="AM78" i="21"/>
  <c r="AM88" i="2"/>
  <c r="AM90" i="2" s="1"/>
  <c r="U76" i="21"/>
  <c r="U50" i="2"/>
  <c r="U52" i="2" s="1"/>
  <c r="V77" i="21"/>
  <c r="V69" i="2"/>
  <c r="V71" i="2" s="1"/>
  <c r="AB78" i="21"/>
  <c r="AB88" i="2"/>
  <c r="AB90" i="2" s="1"/>
  <c r="D56" i="22"/>
  <c r="J84" i="2"/>
  <c r="D84" i="2" s="1"/>
  <c r="E19" i="2" s="1"/>
  <c r="D52" i="21"/>
  <c r="D54" i="21"/>
  <c r="D67" i="21"/>
  <c r="D68" i="21"/>
  <c r="D53" i="21"/>
  <c r="L38" i="10" l="1"/>
  <c r="F10" i="10"/>
  <c r="D78" i="21"/>
  <c r="D77" i="21"/>
  <c r="D76" i="21"/>
  <c r="F90" i="2"/>
  <c r="D90" i="2" s="1"/>
  <c r="D88" i="2"/>
  <c r="E25" i="2" s="1"/>
  <c r="F71" i="2"/>
  <c r="D71" i="2" s="1"/>
  <c r="D69" i="2"/>
  <c r="D25" i="2" s="1"/>
  <c r="D50" i="2"/>
  <c r="C25" i="2" s="1"/>
  <c r="F52" i="2"/>
  <c r="D52" i="2" s="1"/>
  <c r="D66" i="21"/>
  <c r="F36" i="23"/>
  <c r="F37" i="23" s="1"/>
  <c r="J18" i="10" l="1"/>
  <c r="J26" i="10"/>
  <c r="J28" i="10" s="1"/>
  <c r="D27" i="2"/>
  <c r="D32" i="2" s="1"/>
  <c r="K18" i="10"/>
  <c r="K26" i="10"/>
  <c r="K28" i="10" s="1"/>
  <c r="E27" i="2"/>
  <c r="E32" i="2" s="1"/>
  <c r="L26" i="10"/>
  <c r="L28" i="10" s="1"/>
  <c r="L18" i="10"/>
  <c r="C27" i="2"/>
  <c r="C32" i="2" s="1"/>
  <c r="F51" i="26"/>
  <c r="F55" i="26" s="1"/>
  <c r="F59" i="26" s="1"/>
  <c r="F29" i="28"/>
  <c r="F49" i="28" s="1"/>
  <c r="F51" i="28" s="1"/>
  <c r="F89" i="26"/>
  <c r="F93" i="26" s="1"/>
  <c r="F96" i="26" s="1"/>
  <c r="G37" i="23"/>
  <c r="F46" i="23"/>
  <c r="F31" i="28" l="1"/>
  <c r="F35" i="28" s="1"/>
  <c r="F37" i="28" s="1"/>
  <c r="F42" i="28"/>
  <c r="G29" i="28"/>
  <c r="G49" i="28" s="1"/>
  <c r="G89" i="26"/>
  <c r="G93" i="26" s="1"/>
  <c r="G96" i="26" s="1"/>
  <c r="G98" i="26" s="1"/>
  <c r="G101" i="26" s="1"/>
  <c r="G51" i="26"/>
  <c r="G55" i="26" s="1"/>
  <c r="G59" i="26" s="1"/>
  <c r="G61" i="26" s="1"/>
  <c r="G64" i="26" s="1"/>
  <c r="F98" i="26"/>
  <c r="F61" i="26"/>
  <c r="G46" i="23"/>
  <c r="H37" i="23"/>
  <c r="G51" i="28" l="1"/>
  <c r="G31" i="28"/>
  <c r="G35" i="28" s="1"/>
  <c r="G37" i="28" s="1"/>
  <c r="G42" i="28"/>
  <c r="F44" i="28"/>
  <c r="F53" i="28" s="1"/>
  <c r="F59" i="28"/>
  <c r="F63" i="2" s="1"/>
  <c r="F58" i="28"/>
  <c r="F44" i="2" s="1"/>
  <c r="F60" i="28"/>
  <c r="F82" i="2" s="1"/>
  <c r="G105" i="26"/>
  <c r="G41" i="2" s="1"/>
  <c r="G106" i="26"/>
  <c r="G60" i="2" s="1"/>
  <c r="G107" i="26"/>
  <c r="G79" i="2" s="1"/>
  <c r="F64" i="26"/>
  <c r="H29" i="28"/>
  <c r="H49" i="28" s="1"/>
  <c r="H51" i="28" s="1"/>
  <c r="H89" i="26"/>
  <c r="H93" i="26" s="1"/>
  <c r="H96" i="26" s="1"/>
  <c r="H98" i="26" s="1"/>
  <c r="H101" i="26" s="1"/>
  <c r="H51" i="26"/>
  <c r="H55" i="26" s="1"/>
  <c r="H59" i="26" s="1"/>
  <c r="H61" i="26" s="1"/>
  <c r="H64" i="26" s="1"/>
  <c r="F101" i="26"/>
  <c r="H46" i="23"/>
  <c r="I37" i="23"/>
  <c r="H31" i="28" l="1"/>
  <c r="H35" i="28" s="1"/>
  <c r="H37" i="28" s="1"/>
  <c r="H42" i="28"/>
  <c r="G44" i="28"/>
  <c r="G53" i="28" s="1"/>
  <c r="F106" i="26"/>
  <c r="F60" i="2" s="1"/>
  <c r="F105" i="26"/>
  <c r="F41" i="2" s="1"/>
  <c r="F107" i="26"/>
  <c r="F79" i="2" s="1"/>
  <c r="H106" i="26"/>
  <c r="H60" i="2" s="1"/>
  <c r="H105" i="26"/>
  <c r="H41" i="2" s="1"/>
  <c r="H107" i="26"/>
  <c r="H79" i="2" s="1"/>
  <c r="D25" i="28"/>
  <c r="I29" i="28"/>
  <c r="I49" i="28" s="1"/>
  <c r="I51" i="28" s="1"/>
  <c r="I51" i="26"/>
  <c r="I55" i="26" s="1"/>
  <c r="I59" i="26" s="1"/>
  <c r="I61" i="26" s="1"/>
  <c r="I89" i="26"/>
  <c r="I93" i="26" s="1"/>
  <c r="I96" i="26" s="1"/>
  <c r="I98" i="26" s="1"/>
  <c r="I101" i="26" s="1"/>
  <c r="J37" i="23"/>
  <c r="I46" i="23"/>
  <c r="G58" i="28" l="1"/>
  <c r="G44" i="2" s="1"/>
  <c r="G47" i="2" s="1"/>
  <c r="G54" i="2" s="1"/>
  <c r="G59" i="28"/>
  <c r="G63" i="2" s="1"/>
  <c r="G66" i="2" s="1"/>
  <c r="G73" i="2" s="1"/>
  <c r="G60" i="28"/>
  <c r="G82" i="2" s="1"/>
  <c r="G85" i="2" s="1"/>
  <c r="G92" i="2" s="1"/>
  <c r="I31" i="28"/>
  <c r="I35" i="28" s="1"/>
  <c r="I37" i="28" s="1"/>
  <c r="I42" i="28"/>
  <c r="I44" i="28" s="1"/>
  <c r="H44" i="28"/>
  <c r="H53" i="28" s="1"/>
  <c r="F85" i="2"/>
  <c r="F66" i="2"/>
  <c r="F47" i="2"/>
  <c r="F54" i="2" s="1"/>
  <c r="I64" i="26"/>
  <c r="J89" i="26"/>
  <c r="J93" i="26" s="1"/>
  <c r="J96" i="26" s="1"/>
  <c r="J51" i="26"/>
  <c r="J55" i="26" s="1"/>
  <c r="J59" i="26" s="1"/>
  <c r="J29" i="28"/>
  <c r="J49" i="28" s="1"/>
  <c r="J51" i="28" s="1"/>
  <c r="J46" i="23"/>
  <c r="K37" i="23"/>
  <c r="I53" i="28" l="1"/>
  <c r="I60" i="28" s="1"/>
  <c r="I82" i="2" s="1"/>
  <c r="H58" i="28"/>
  <c r="H44" i="2" s="1"/>
  <c r="H47" i="2" s="1"/>
  <c r="H54" i="2" s="1"/>
  <c r="H59" i="28"/>
  <c r="H63" i="2" s="1"/>
  <c r="H66" i="2" s="1"/>
  <c r="H73" i="2" s="1"/>
  <c r="H60" i="28"/>
  <c r="H82" i="2" s="1"/>
  <c r="H85" i="2" s="1"/>
  <c r="H92" i="2" s="1"/>
  <c r="J31" i="28"/>
  <c r="J35" i="28" s="1"/>
  <c r="J37" i="28" s="1"/>
  <c r="J42" i="28"/>
  <c r="F73" i="2"/>
  <c r="F92" i="2"/>
  <c r="I107" i="26"/>
  <c r="I79" i="2" s="1"/>
  <c r="I105" i="26"/>
  <c r="I41" i="2" s="1"/>
  <c r="I106" i="26"/>
  <c r="I60" i="2" s="1"/>
  <c r="K89" i="26"/>
  <c r="K93" i="26" s="1"/>
  <c r="K96" i="26" s="1"/>
  <c r="K98" i="26" s="1"/>
  <c r="K101" i="26" s="1"/>
  <c r="K51" i="26"/>
  <c r="K55" i="26" s="1"/>
  <c r="K59" i="26" s="1"/>
  <c r="K61" i="26" s="1"/>
  <c r="K64" i="26" s="1"/>
  <c r="K29" i="28"/>
  <c r="K49" i="28" s="1"/>
  <c r="K51" i="28" s="1"/>
  <c r="J61" i="26"/>
  <c r="J98" i="26"/>
  <c r="K46" i="23"/>
  <c r="L37" i="23"/>
  <c r="I58" i="28" l="1"/>
  <c r="I44" i="2" s="1"/>
  <c r="I47" i="2" s="1"/>
  <c r="I54" i="2" s="1"/>
  <c r="I59" i="28"/>
  <c r="I63" i="2" s="1"/>
  <c r="I66" i="2" s="1"/>
  <c r="K31" i="28"/>
  <c r="K35" i="28" s="1"/>
  <c r="K37" i="28" s="1"/>
  <c r="K42" i="28"/>
  <c r="J44" i="28"/>
  <c r="J53" i="28" s="1"/>
  <c r="I85" i="2"/>
  <c r="K107" i="26"/>
  <c r="K79" i="2" s="1"/>
  <c r="K105" i="26"/>
  <c r="K41" i="2" s="1"/>
  <c r="K106" i="26"/>
  <c r="K60" i="2" s="1"/>
  <c r="L29" i="28"/>
  <c r="L49" i="28" s="1"/>
  <c r="L51" i="28" s="1"/>
  <c r="L89" i="26"/>
  <c r="L93" i="26" s="1"/>
  <c r="L96" i="26" s="1"/>
  <c r="L51" i="26"/>
  <c r="L55" i="26" s="1"/>
  <c r="L59" i="26" s="1"/>
  <c r="J101" i="26"/>
  <c r="J64" i="26"/>
  <c r="M37" i="23"/>
  <c r="L46" i="23"/>
  <c r="J59" i="28" l="1"/>
  <c r="J63" i="2" s="1"/>
  <c r="J60" i="28"/>
  <c r="J82" i="2" s="1"/>
  <c r="J58" i="28"/>
  <c r="J44" i="2" s="1"/>
  <c r="L31" i="28"/>
  <c r="L35" i="28" s="1"/>
  <c r="L37" i="28" s="1"/>
  <c r="L42" i="28"/>
  <c r="K44" i="28"/>
  <c r="K53" i="28" s="1"/>
  <c r="I92" i="2"/>
  <c r="I73" i="2"/>
  <c r="J107" i="26"/>
  <c r="J79" i="2" s="1"/>
  <c r="J105" i="26"/>
  <c r="J41" i="2" s="1"/>
  <c r="J106" i="26"/>
  <c r="J60" i="2" s="1"/>
  <c r="M29" i="28"/>
  <c r="M49" i="28" s="1"/>
  <c r="M51" i="28" s="1"/>
  <c r="M89" i="26"/>
  <c r="M93" i="26" s="1"/>
  <c r="M96" i="26" s="1"/>
  <c r="M98" i="26" s="1"/>
  <c r="M101" i="26" s="1"/>
  <c r="M51" i="26"/>
  <c r="M55" i="26" s="1"/>
  <c r="M59" i="26" s="1"/>
  <c r="M61" i="26" s="1"/>
  <c r="M64" i="26" s="1"/>
  <c r="L61" i="26"/>
  <c r="L98" i="26"/>
  <c r="M46" i="23"/>
  <c r="N37" i="23"/>
  <c r="K60" i="28" l="1"/>
  <c r="K82" i="2" s="1"/>
  <c r="K85" i="2" s="1"/>
  <c r="K92" i="2" s="1"/>
  <c r="K58" i="28"/>
  <c r="K44" i="2" s="1"/>
  <c r="K47" i="2" s="1"/>
  <c r="K54" i="2" s="1"/>
  <c r="K59" i="28"/>
  <c r="K63" i="2" s="1"/>
  <c r="K66" i="2" s="1"/>
  <c r="K73" i="2" s="1"/>
  <c r="M31" i="28"/>
  <c r="M35" i="28" s="1"/>
  <c r="M37" i="28" s="1"/>
  <c r="M42" i="28"/>
  <c r="L44" i="28"/>
  <c r="L53" i="28" s="1"/>
  <c r="J85" i="2"/>
  <c r="J66" i="2"/>
  <c r="M105" i="26"/>
  <c r="M41" i="2" s="1"/>
  <c r="M106" i="26"/>
  <c r="M60" i="2" s="1"/>
  <c r="M107" i="26"/>
  <c r="M79" i="2" s="1"/>
  <c r="J47" i="2"/>
  <c r="J54" i="2" s="1"/>
  <c r="N29" i="28"/>
  <c r="N49" i="28" s="1"/>
  <c r="N51" i="28" s="1"/>
  <c r="N51" i="26"/>
  <c r="N55" i="26" s="1"/>
  <c r="N59" i="26" s="1"/>
  <c r="N61" i="26" s="1"/>
  <c r="N64" i="26" s="1"/>
  <c r="N89" i="26"/>
  <c r="N93" i="26" s="1"/>
  <c r="N96" i="26" s="1"/>
  <c r="N98" i="26" s="1"/>
  <c r="N101" i="26" s="1"/>
  <c r="L101" i="26"/>
  <c r="L64" i="26"/>
  <c r="O37" i="23"/>
  <c r="N46" i="23"/>
  <c r="L60" i="28" l="1"/>
  <c r="L82" i="2" s="1"/>
  <c r="L58" i="28"/>
  <c r="L44" i="2" s="1"/>
  <c r="L59" i="28"/>
  <c r="L63" i="2" s="1"/>
  <c r="N31" i="28"/>
  <c r="N35" i="28" s="1"/>
  <c r="N37" i="28" s="1"/>
  <c r="N42" i="28"/>
  <c r="M44" i="28"/>
  <c r="M53" i="28" s="1"/>
  <c r="J73" i="2"/>
  <c r="J92" i="2"/>
  <c r="L105" i="26"/>
  <c r="L41" i="2" s="1"/>
  <c r="L106" i="26"/>
  <c r="L60" i="2" s="1"/>
  <c r="L107" i="26"/>
  <c r="L79" i="2" s="1"/>
  <c r="N105" i="26"/>
  <c r="N41" i="2" s="1"/>
  <c r="N106" i="26"/>
  <c r="N60" i="2" s="1"/>
  <c r="N107" i="26"/>
  <c r="N79" i="2" s="1"/>
  <c r="O29" i="28"/>
  <c r="O49" i="28" s="1"/>
  <c r="O51" i="28" s="1"/>
  <c r="O89" i="26"/>
  <c r="O93" i="26" s="1"/>
  <c r="O96" i="26" s="1"/>
  <c r="O98" i="26" s="1"/>
  <c r="O101" i="26" s="1"/>
  <c r="O51" i="26"/>
  <c r="O55" i="26" s="1"/>
  <c r="O59" i="26" s="1"/>
  <c r="O61" i="26" s="1"/>
  <c r="O64" i="26" s="1"/>
  <c r="O46" i="23"/>
  <c r="P37" i="23"/>
  <c r="M58" i="28" l="1"/>
  <c r="M44" i="2" s="1"/>
  <c r="M47" i="2" s="1"/>
  <c r="M54" i="2" s="1"/>
  <c r="M59" i="28"/>
  <c r="M63" i="2" s="1"/>
  <c r="M66" i="2" s="1"/>
  <c r="M73" i="2" s="1"/>
  <c r="M60" i="28"/>
  <c r="M82" i="2" s="1"/>
  <c r="M85" i="2" s="1"/>
  <c r="M92" i="2" s="1"/>
  <c r="O31" i="28"/>
  <c r="O35" i="28" s="1"/>
  <c r="O37" i="28" s="1"/>
  <c r="O42" i="28"/>
  <c r="N44" i="28"/>
  <c r="N53" i="28" s="1"/>
  <c r="L66" i="2"/>
  <c r="L85" i="2"/>
  <c r="O105" i="26"/>
  <c r="O41" i="2" s="1"/>
  <c r="O106" i="26"/>
  <c r="O60" i="2" s="1"/>
  <c r="O107" i="26"/>
  <c r="O79" i="2" s="1"/>
  <c r="L47" i="2"/>
  <c r="L54" i="2" s="1"/>
  <c r="P29" i="28"/>
  <c r="P49" i="28" s="1"/>
  <c r="P51" i="28" s="1"/>
  <c r="P89" i="26"/>
  <c r="P93" i="26" s="1"/>
  <c r="P96" i="26" s="1"/>
  <c r="P98" i="26" s="1"/>
  <c r="P101" i="26" s="1"/>
  <c r="P51" i="26"/>
  <c r="P55" i="26" s="1"/>
  <c r="P59" i="26" s="1"/>
  <c r="P61" i="26" s="1"/>
  <c r="P64" i="26" s="1"/>
  <c r="Q37" i="23"/>
  <c r="P46" i="23"/>
  <c r="N58" i="28" l="1"/>
  <c r="N44" i="2" s="1"/>
  <c r="N47" i="2" s="1"/>
  <c r="N54" i="2" s="1"/>
  <c r="N59" i="28"/>
  <c r="N63" i="2" s="1"/>
  <c r="N66" i="2" s="1"/>
  <c r="N73" i="2" s="1"/>
  <c r="N60" i="28"/>
  <c r="N82" i="2" s="1"/>
  <c r="N85" i="2" s="1"/>
  <c r="N92" i="2" s="1"/>
  <c r="P31" i="28"/>
  <c r="P35" i="28" s="1"/>
  <c r="P37" i="28" s="1"/>
  <c r="P42" i="28"/>
  <c r="O44" i="28"/>
  <c r="O53" i="28" s="1"/>
  <c r="L92" i="2"/>
  <c r="L73" i="2"/>
  <c r="P106" i="26"/>
  <c r="P60" i="2" s="1"/>
  <c r="P107" i="26"/>
  <c r="P79" i="2" s="1"/>
  <c r="P105" i="26"/>
  <c r="P41" i="2" s="1"/>
  <c r="Q29" i="28"/>
  <c r="Q49" i="28" s="1"/>
  <c r="Q51" i="28" s="1"/>
  <c r="Q89" i="26"/>
  <c r="Q93" i="26" s="1"/>
  <c r="Q96" i="26" s="1"/>
  <c r="Q98" i="26" s="1"/>
  <c r="Q101" i="26" s="1"/>
  <c r="Q51" i="26"/>
  <c r="Q55" i="26" s="1"/>
  <c r="Q59" i="26" s="1"/>
  <c r="Q61" i="26" s="1"/>
  <c r="Q64" i="26" s="1"/>
  <c r="Q46" i="23"/>
  <c r="R37" i="23"/>
  <c r="O58" i="28" l="1"/>
  <c r="O44" i="2" s="1"/>
  <c r="O47" i="2" s="1"/>
  <c r="O54" i="2" s="1"/>
  <c r="O59" i="28"/>
  <c r="O63" i="2" s="1"/>
  <c r="O66" i="2" s="1"/>
  <c r="O73" i="2" s="1"/>
  <c r="O60" i="28"/>
  <c r="O82" i="2" s="1"/>
  <c r="O85" i="2" s="1"/>
  <c r="O92" i="2" s="1"/>
  <c r="Q31" i="28"/>
  <c r="Q35" i="28" s="1"/>
  <c r="Q37" i="28" s="1"/>
  <c r="Q42" i="28"/>
  <c r="P44" i="28"/>
  <c r="P53" i="28" s="1"/>
  <c r="Q107" i="26"/>
  <c r="Q79" i="2" s="1"/>
  <c r="Q106" i="26"/>
  <c r="Q60" i="2" s="1"/>
  <c r="Q105" i="26"/>
  <c r="Q41" i="2" s="1"/>
  <c r="R89" i="26"/>
  <c r="R93" i="26" s="1"/>
  <c r="R96" i="26" s="1"/>
  <c r="R98" i="26" s="1"/>
  <c r="R101" i="26" s="1"/>
  <c r="R51" i="26"/>
  <c r="R55" i="26" s="1"/>
  <c r="R59" i="26" s="1"/>
  <c r="R61" i="26" s="1"/>
  <c r="R64" i="26" s="1"/>
  <c r="R29" i="28"/>
  <c r="R49" i="28" s="1"/>
  <c r="R51" i="28" s="1"/>
  <c r="R46" i="23"/>
  <c r="S37" i="23"/>
  <c r="P58" i="28" l="1"/>
  <c r="P44" i="2" s="1"/>
  <c r="P47" i="2" s="1"/>
  <c r="P54" i="2" s="1"/>
  <c r="P59" i="28"/>
  <c r="P63" i="2" s="1"/>
  <c r="P66" i="2" s="1"/>
  <c r="P73" i="2" s="1"/>
  <c r="P60" i="28"/>
  <c r="P82" i="2" s="1"/>
  <c r="P85" i="2" s="1"/>
  <c r="P92" i="2" s="1"/>
  <c r="R31" i="28"/>
  <c r="R35" i="28" s="1"/>
  <c r="R37" i="28" s="1"/>
  <c r="R42" i="28"/>
  <c r="Q44" i="28"/>
  <c r="Q53" i="28" s="1"/>
  <c r="R106" i="26"/>
  <c r="R60" i="2" s="1"/>
  <c r="R105" i="26"/>
  <c r="R41" i="2" s="1"/>
  <c r="R107" i="26"/>
  <c r="R79" i="2" s="1"/>
  <c r="S89" i="26"/>
  <c r="S93" i="26" s="1"/>
  <c r="S96" i="26" s="1"/>
  <c r="S98" i="26" s="1"/>
  <c r="S101" i="26" s="1"/>
  <c r="S51" i="26"/>
  <c r="S55" i="26" s="1"/>
  <c r="S59" i="26" s="1"/>
  <c r="S61" i="26" s="1"/>
  <c r="S64" i="26" s="1"/>
  <c r="S29" i="28"/>
  <c r="S49" i="28" s="1"/>
  <c r="S51" i="28" s="1"/>
  <c r="T37" i="23"/>
  <c r="S46" i="23"/>
  <c r="Q59" i="28" l="1"/>
  <c r="Q63" i="2" s="1"/>
  <c r="Q66" i="2" s="1"/>
  <c r="Q73" i="2" s="1"/>
  <c r="Q60" i="28"/>
  <c r="Q82" i="2" s="1"/>
  <c r="Q85" i="2" s="1"/>
  <c r="Q92" i="2" s="1"/>
  <c r="Q58" i="28"/>
  <c r="Q44" i="2" s="1"/>
  <c r="Q47" i="2" s="1"/>
  <c r="Q54" i="2" s="1"/>
  <c r="S31" i="28"/>
  <c r="S35" i="28" s="1"/>
  <c r="S37" i="28" s="1"/>
  <c r="S42" i="28"/>
  <c r="R44" i="28"/>
  <c r="R53" i="28" s="1"/>
  <c r="S106" i="26"/>
  <c r="S60" i="2" s="1"/>
  <c r="S105" i="26"/>
  <c r="S41" i="2" s="1"/>
  <c r="S107" i="26"/>
  <c r="S79" i="2" s="1"/>
  <c r="T29" i="28"/>
  <c r="T49" i="28" s="1"/>
  <c r="T51" i="28" s="1"/>
  <c r="T89" i="26"/>
  <c r="T93" i="26" s="1"/>
  <c r="T96" i="26" s="1"/>
  <c r="T98" i="26" s="1"/>
  <c r="T101" i="26" s="1"/>
  <c r="T51" i="26"/>
  <c r="T55" i="26" s="1"/>
  <c r="T59" i="26" s="1"/>
  <c r="T61" i="26" s="1"/>
  <c r="T64" i="26" s="1"/>
  <c r="T46" i="23"/>
  <c r="U37" i="23"/>
  <c r="R59" i="28" l="1"/>
  <c r="R63" i="2" s="1"/>
  <c r="R66" i="2" s="1"/>
  <c r="R73" i="2" s="1"/>
  <c r="R60" i="28"/>
  <c r="R82" i="2" s="1"/>
  <c r="R85" i="2" s="1"/>
  <c r="R92" i="2" s="1"/>
  <c r="R58" i="28"/>
  <c r="R44" i="2" s="1"/>
  <c r="R47" i="2" s="1"/>
  <c r="R54" i="2" s="1"/>
  <c r="T31" i="28"/>
  <c r="T35" i="28" s="1"/>
  <c r="T37" i="28" s="1"/>
  <c r="T42" i="28"/>
  <c r="S44" i="28"/>
  <c r="S53" i="28" s="1"/>
  <c r="T107" i="26"/>
  <c r="T79" i="2" s="1"/>
  <c r="T105" i="26"/>
  <c r="T41" i="2" s="1"/>
  <c r="T106" i="26"/>
  <c r="T60" i="2" s="1"/>
  <c r="U29" i="28"/>
  <c r="U49" i="28" s="1"/>
  <c r="U51" i="28" s="1"/>
  <c r="U89" i="26"/>
  <c r="U93" i="26" s="1"/>
  <c r="U96" i="26" s="1"/>
  <c r="U98" i="26" s="1"/>
  <c r="U101" i="26" s="1"/>
  <c r="U51" i="26"/>
  <c r="U55" i="26" s="1"/>
  <c r="U59" i="26" s="1"/>
  <c r="U61" i="26" s="1"/>
  <c r="U64" i="26" s="1"/>
  <c r="V37" i="23"/>
  <c r="U46" i="23"/>
  <c r="S60" i="28" l="1"/>
  <c r="S82" i="2" s="1"/>
  <c r="S85" i="2" s="1"/>
  <c r="S92" i="2" s="1"/>
  <c r="S58" i="28"/>
  <c r="S44" i="2" s="1"/>
  <c r="S47" i="2" s="1"/>
  <c r="S54" i="2" s="1"/>
  <c r="S59" i="28"/>
  <c r="S63" i="2" s="1"/>
  <c r="S66" i="2" s="1"/>
  <c r="S73" i="2" s="1"/>
  <c r="U31" i="28"/>
  <c r="U35" i="28" s="1"/>
  <c r="U37" i="28" s="1"/>
  <c r="U42" i="28"/>
  <c r="T44" i="28"/>
  <c r="T53" i="28" s="1"/>
  <c r="U105" i="26"/>
  <c r="U41" i="2" s="1"/>
  <c r="U106" i="26"/>
  <c r="U60" i="2" s="1"/>
  <c r="U107" i="26"/>
  <c r="U79" i="2" s="1"/>
  <c r="V29" i="28"/>
  <c r="V49" i="28" s="1"/>
  <c r="V51" i="28" s="1"/>
  <c r="V89" i="26"/>
  <c r="V93" i="26" s="1"/>
  <c r="V96" i="26" s="1"/>
  <c r="V98" i="26" s="1"/>
  <c r="V101" i="26" s="1"/>
  <c r="V51" i="26"/>
  <c r="V55" i="26" s="1"/>
  <c r="V59" i="26" s="1"/>
  <c r="V61" i="26" s="1"/>
  <c r="V64" i="26" s="1"/>
  <c r="W37" i="23"/>
  <c r="V46" i="23"/>
  <c r="T60" i="28" l="1"/>
  <c r="T82" i="2" s="1"/>
  <c r="T85" i="2" s="1"/>
  <c r="T92" i="2" s="1"/>
  <c r="T58" i="28"/>
  <c r="T44" i="2" s="1"/>
  <c r="T47" i="2" s="1"/>
  <c r="T54" i="2" s="1"/>
  <c r="T59" i="28"/>
  <c r="T63" i="2" s="1"/>
  <c r="T66" i="2" s="1"/>
  <c r="T73" i="2" s="1"/>
  <c r="V31" i="28"/>
  <c r="V35" i="28" s="1"/>
  <c r="V37" i="28" s="1"/>
  <c r="V42" i="28"/>
  <c r="U44" i="28"/>
  <c r="U53" i="28" s="1"/>
  <c r="V105" i="26"/>
  <c r="V41" i="2" s="1"/>
  <c r="V106" i="26"/>
  <c r="V60" i="2" s="1"/>
  <c r="V107" i="26"/>
  <c r="V79" i="2" s="1"/>
  <c r="W29" i="28"/>
  <c r="W49" i="28" s="1"/>
  <c r="W51" i="28" s="1"/>
  <c r="W89" i="26"/>
  <c r="W93" i="26" s="1"/>
  <c r="W96" i="26" s="1"/>
  <c r="W98" i="26" s="1"/>
  <c r="W101" i="26" s="1"/>
  <c r="W51" i="26"/>
  <c r="W55" i="26" s="1"/>
  <c r="W59" i="26" s="1"/>
  <c r="W61" i="26" s="1"/>
  <c r="W64" i="26" s="1"/>
  <c r="W46" i="23"/>
  <c r="X37" i="23"/>
  <c r="U58" i="28" l="1"/>
  <c r="U44" i="2" s="1"/>
  <c r="U47" i="2" s="1"/>
  <c r="U54" i="2" s="1"/>
  <c r="U59" i="28"/>
  <c r="U63" i="2" s="1"/>
  <c r="U66" i="2" s="1"/>
  <c r="U73" i="2" s="1"/>
  <c r="U60" i="28"/>
  <c r="U82" i="2" s="1"/>
  <c r="U85" i="2" s="1"/>
  <c r="U92" i="2" s="1"/>
  <c r="W31" i="28"/>
  <c r="W35" i="28" s="1"/>
  <c r="W37" i="28" s="1"/>
  <c r="W42" i="28"/>
  <c r="V44" i="28"/>
  <c r="V53" i="28" s="1"/>
  <c r="W105" i="26"/>
  <c r="W41" i="2" s="1"/>
  <c r="W106" i="26"/>
  <c r="W60" i="2" s="1"/>
  <c r="W107" i="26"/>
  <c r="W79" i="2" s="1"/>
  <c r="X29" i="28"/>
  <c r="X49" i="28" s="1"/>
  <c r="X51" i="28" s="1"/>
  <c r="X89" i="26"/>
  <c r="X93" i="26" s="1"/>
  <c r="X96" i="26" s="1"/>
  <c r="X98" i="26" s="1"/>
  <c r="X101" i="26" s="1"/>
  <c r="X51" i="26"/>
  <c r="X55" i="26" s="1"/>
  <c r="X59" i="26" s="1"/>
  <c r="X61" i="26" s="1"/>
  <c r="X64" i="26" s="1"/>
  <c r="Y37" i="23"/>
  <c r="X46" i="23"/>
  <c r="V58" i="28" l="1"/>
  <c r="V44" i="2" s="1"/>
  <c r="V47" i="2" s="1"/>
  <c r="V54" i="2" s="1"/>
  <c r="V59" i="28"/>
  <c r="V63" i="2" s="1"/>
  <c r="V66" i="2" s="1"/>
  <c r="V73" i="2" s="1"/>
  <c r="V60" i="28"/>
  <c r="V82" i="2" s="1"/>
  <c r="V85" i="2" s="1"/>
  <c r="V92" i="2" s="1"/>
  <c r="X31" i="28"/>
  <c r="X35" i="28" s="1"/>
  <c r="X37" i="28" s="1"/>
  <c r="X42" i="28"/>
  <c r="W44" i="28"/>
  <c r="W53" i="28" s="1"/>
  <c r="X106" i="26"/>
  <c r="X60" i="2" s="1"/>
  <c r="X107" i="26"/>
  <c r="X79" i="2" s="1"/>
  <c r="X105" i="26"/>
  <c r="X41" i="2" s="1"/>
  <c r="Y29" i="28"/>
  <c r="Y49" i="28" s="1"/>
  <c r="Y51" i="28" s="1"/>
  <c r="Y51" i="26"/>
  <c r="Y55" i="26" s="1"/>
  <c r="Y59" i="26" s="1"/>
  <c r="Y61" i="26" s="1"/>
  <c r="Y64" i="26" s="1"/>
  <c r="Y89" i="26"/>
  <c r="Y93" i="26" s="1"/>
  <c r="Y96" i="26" s="1"/>
  <c r="Y98" i="26" s="1"/>
  <c r="Y101" i="26" s="1"/>
  <c r="Y46" i="23"/>
  <c r="Z37" i="23"/>
  <c r="W58" i="28" l="1"/>
  <c r="W44" i="2" s="1"/>
  <c r="W47" i="2" s="1"/>
  <c r="W54" i="2" s="1"/>
  <c r="W59" i="28"/>
  <c r="W63" i="2" s="1"/>
  <c r="W66" i="2" s="1"/>
  <c r="W73" i="2" s="1"/>
  <c r="W60" i="28"/>
  <c r="W82" i="2" s="1"/>
  <c r="W85" i="2" s="1"/>
  <c r="W92" i="2" s="1"/>
  <c r="Y31" i="28"/>
  <c r="Y35" i="28" s="1"/>
  <c r="Y37" i="28" s="1"/>
  <c r="Y42" i="28"/>
  <c r="X44" i="28"/>
  <c r="X53" i="28" s="1"/>
  <c r="Y107" i="26"/>
  <c r="Y79" i="2" s="1"/>
  <c r="Y106" i="26"/>
  <c r="Y60" i="2" s="1"/>
  <c r="Y105" i="26"/>
  <c r="Y41" i="2" s="1"/>
  <c r="Z89" i="26"/>
  <c r="Z93" i="26" s="1"/>
  <c r="Z96" i="26" s="1"/>
  <c r="Z98" i="26" s="1"/>
  <c r="Z101" i="26" s="1"/>
  <c r="Z51" i="26"/>
  <c r="Z55" i="26" s="1"/>
  <c r="Z59" i="26" s="1"/>
  <c r="Z61" i="26" s="1"/>
  <c r="Z64" i="26" s="1"/>
  <c r="Z29" i="28"/>
  <c r="Z49" i="28" s="1"/>
  <c r="Z51" i="28" s="1"/>
  <c r="AA37" i="23"/>
  <c r="Z46" i="23"/>
  <c r="X58" i="28" l="1"/>
  <c r="X44" i="2" s="1"/>
  <c r="X47" i="2" s="1"/>
  <c r="X54" i="2" s="1"/>
  <c r="X59" i="28"/>
  <c r="X63" i="2" s="1"/>
  <c r="X66" i="2" s="1"/>
  <c r="X73" i="2" s="1"/>
  <c r="X60" i="28"/>
  <c r="X82" i="2" s="1"/>
  <c r="X85" i="2" s="1"/>
  <c r="X92" i="2" s="1"/>
  <c r="Z31" i="28"/>
  <c r="Z35" i="28" s="1"/>
  <c r="Z37" i="28" s="1"/>
  <c r="Z42" i="28"/>
  <c r="Y44" i="28"/>
  <c r="Y53" i="28" s="1"/>
  <c r="Z107" i="26"/>
  <c r="Z79" i="2" s="1"/>
  <c r="Z105" i="26"/>
  <c r="Z41" i="2" s="1"/>
  <c r="Z106" i="26"/>
  <c r="Z60" i="2" s="1"/>
  <c r="AA89" i="26"/>
  <c r="AA93" i="26" s="1"/>
  <c r="AA96" i="26" s="1"/>
  <c r="AA98" i="26" s="1"/>
  <c r="AA101" i="26" s="1"/>
  <c r="AA51" i="26"/>
  <c r="AA55" i="26" s="1"/>
  <c r="AA59" i="26" s="1"/>
  <c r="AA61" i="26" s="1"/>
  <c r="AA64" i="26" s="1"/>
  <c r="AA29" i="28"/>
  <c r="AA49" i="28" s="1"/>
  <c r="AA51" i="28" s="1"/>
  <c r="AB37" i="23"/>
  <c r="AA46" i="23"/>
  <c r="Y59" i="28" l="1"/>
  <c r="Y63" i="2" s="1"/>
  <c r="Y66" i="2" s="1"/>
  <c r="Y73" i="2" s="1"/>
  <c r="Y60" i="28"/>
  <c r="Y82" i="2" s="1"/>
  <c r="Y85" i="2" s="1"/>
  <c r="Y92" i="2" s="1"/>
  <c r="Y58" i="28"/>
  <c r="Y44" i="2" s="1"/>
  <c r="Y47" i="2" s="1"/>
  <c r="Y54" i="2" s="1"/>
  <c r="AA31" i="28"/>
  <c r="AA35" i="28" s="1"/>
  <c r="AA37" i="28" s="1"/>
  <c r="AA42" i="28"/>
  <c r="Z44" i="28"/>
  <c r="Z53" i="28" s="1"/>
  <c r="AA107" i="26"/>
  <c r="AA79" i="2" s="1"/>
  <c r="AA105" i="26"/>
  <c r="AA41" i="2" s="1"/>
  <c r="AA106" i="26"/>
  <c r="AA60" i="2" s="1"/>
  <c r="AB29" i="28"/>
  <c r="AB49" i="28" s="1"/>
  <c r="AB51" i="28" s="1"/>
  <c r="AB89" i="26"/>
  <c r="AB93" i="26" s="1"/>
  <c r="AB96" i="26" s="1"/>
  <c r="AB98" i="26" s="1"/>
  <c r="AB101" i="26" s="1"/>
  <c r="AB51" i="26"/>
  <c r="AB55" i="26" s="1"/>
  <c r="AB59" i="26" s="1"/>
  <c r="AB61" i="26" s="1"/>
  <c r="AB64" i="26" s="1"/>
  <c r="AC37" i="23"/>
  <c r="AB46" i="23"/>
  <c r="Z59" i="28" l="1"/>
  <c r="Z63" i="2" s="1"/>
  <c r="Z66" i="2" s="1"/>
  <c r="Z73" i="2" s="1"/>
  <c r="Z60" i="28"/>
  <c r="Z82" i="2" s="1"/>
  <c r="Z85" i="2" s="1"/>
  <c r="Z92" i="2" s="1"/>
  <c r="Z58" i="28"/>
  <c r="Z44" i="2" s="1"/>
  <c r="Z47" i="2" s="1"/>
  <c r="Z54" i="2" s="1"/>
  <c r="AB31" i="28"/>
  <c r="AB35" i="28" s="1"/>
  <c r="AB37" i="28" s="1"/>
  <c r="AB42" i="28"/>
  <c r="AA44" i="28"/>
  <c r="AA53" i="28" s="1"/>
  <c r="AB107" i="26"/>
  <c r="AB79" i="2" s="1"/>
  <c r="AB105" i="26"/>
  <c r="AB41" i="2" s="1"/>
  <c r="AB106" i="26"/>
  <c r="AB60" i="2" s="1"/>
  <c r="AC29" i="28"/>
  <c r="AC49" i="28" s="1"/>
  <c r="AC51" i="28" s="1"/>
  <c r="AC89" i="26"/>
  <c r="AC93" i="26" s="1"/>
  <c r="AC96" i="26" s="1"/>
  <c r="AC98" i="26" s="1"/>
  <c r="AC101" i="26" s="1"/>
  <c r="AC51" i="26"/>
  <c r="AC55" i="26" s="1"/>
  <c r="AC59" i="26" s="1"/>
  <c r="AC61" i="26" s="1"/>
  <c r="AC64" i="26" s="1"/>
  <c r="AC46" i="23"/>
  <c r="AD37" i="23"/>
  <c r="AA60" i="28" l="1"/>
  <c r="AA82" i="2" s="1"/>
  <c r="AA85" i="2" s="1"/>
  <c r="AA92" i="2" s="1"/>
  <c r="AA58" i="28"/>
  <c r="AA44" i="2" s="1"/>
  <c r="AA47" i="2" s="1"/>
  <c r="AA54" i="2" s="1"/>
  <c r="AA59" i="28"/>
  <c r="AA63" i="2" s="1"/>
  <c r="AA66" i="2" s="1"/>
  <c r="AA73" i="2" s="1"/>
  <c r="AC31" i="28"/>
  <c r="AC35" i="28" s="1"/>
  <c r="AC37" i="28" s="1"/>
  <c r="AC42" i="28"/>
  <c r="AB44" i="28"/>
  <c r="AB53" i="28" s="1"/>
  <c r="AC105" i="26"/>
  <c r="AC41" i="2" s="1"/>
  <c r="AC106" i="26"/>
  <c r="AC60" i="2" s="1"/>
  <c r="AC107" i="26"/>
  <c r="AC79" i="2" s="1"/>
  <c r="AD29" i="28"/>
  <c r="AD49" i="28" s="1"/>
  <c r="AD51" i="28" s="1"/>
  <c r="AD89" i="26"/>
  <c r="AD93" i="26" s="1"/>
  <c r="AD96" i="26" s="1"/>
  <c r="AD98" i="26" s="1"/>
  <c r="AD101" i="26" s="1"/>
  <c r="AD51" i="26"/>
  <c r="AD55" i="26" s="1"/>
  <c r="AD59" i="26" s="1"/>
  <c r="AD61" i="26" s="1"/>
  <c r="AD64" i="26" s="1"/>
  <c r="AE37" i="23"/>
  <c r="AD46" i="23"/>
  <c r="AB60" i="28" l="1"/>
  <c r="AB82" i="2" s="1"/>
  <c r="AB85" i="2" s="1"/>
  <c r="AB92" i="2" s="1"/>
  <c r="AB58" i="28"/>
  <c r="AB44" i="2" s="1"/>
  <c r="AB47" i="2" s="1"/>
  <c r="AB54" i="2" s="1"/>
  <c r="AB59" i="28"/>
  <c r="AB63" i="2" s="1"/>
  <c r="AB66" i="2" s="1"/>
  <c r="AB73" i="2" s="1"/>
  <c r="AD31" i="28"/>
  <c r="AD35" i="28" s="1"/>
  <c r="AD37" i="28" s="1"/>
  <c r="AD42" i="28"/>
  <c r="AC44" i="28"/>
  <c r="AC53" i="28" s="1"/>
  <c r="AD105" i="26"/>
  <c r="AD41" i="2" s="1"/>
  <c r="AD106" i="26"/>
  <c r="AD60" i="2" s="1"/>
  <c r="AD107" i="26"/>
  <c r="AD79" i="2" s="1"/>
  <c r="AE29" i="28"/>
  <c r="AE49" i="28" s="1"/>
  <c r="AE51" i="28" s="1"/>
  <c r="AE89" i="26"/>
  <c r="AE93" i="26" s="1"/>
  <c r="AE96" i="26" s="1"/>
  <c r="AE98" i="26" s="1"/>
  <c r="AE101" i="26" s="1"/>
  <c r="AE51" i="26"/>
  <c r="AE55" i="26" s="1"/>
  <c r="AE59" i="26" s="1"/>
  <c r="AE61" i="26" s="1"/>
  <c r="AE64" i="26" s="1"/>
  <c r="AE46" i="23"/>
  <c r="AF37" i="23"/>
  <c r="AC58" i="28" l="1"/>
  <c r="AC44" i="2" s="1"/>
  <c r="AC47" i="2" s="1"/>
  <c r="AC54" i="2" s="1"/>
  <c r="AC59" i="28"/>
  <c r="AC63" i="2" s="1"/>
  <c r="AC66" i="2" s="1"/>
  <c r="AC73" i="2" s="1"/>
  <c r="AC60" i="28"/>
  <c r="AC82" i="2" s="1"/>
  <c r="AC85" i="2" s="1"/>
  <c r="AC92" i="2" s="1"/>
  <c r="AE31" i="28"/>
  <c r="AE35" i="28" s="1"/>
  <c r="AE37" i="28" s="1"/>
  <c r="AE42" i="28"/>
  <c r="AD44" i="28"/>
  <c r="AD53" i="28" s="1"/>
  <c r="AE105" i="26"/>
  <c r="AE41" i="2" s="1"/>
  <c r="AE107" i="26"/>
  <c r="AE79" i="2" s="1"/>
  <c r="AE106" i="26"/>
  <c r="AE60" i="2" s="1"/>
  <c r="AF29" i="28"/>
  <c r="AF49" i="28" s="1"/>
  <c r="AF51" i="28" s="1"/>
  <c r="AF89" i="26"/>
  <c r="AF93" i="26" s="1"/>
  <c r="AF96" i="26" s="1"/>
  <c r="AF98" i="26" s="1"/>
  <c r="AF101" i="26" s="1"/>
  <c r="AF51" i="26"/>
  <c r="AF55" i="26" s="1"/>
  <c r="AF59" i="26" s="1"/>
  <c r="AF61" i="26" s="1"/>
  <c r="AF64" i="26" s="1"/>
  <c r="AF46" i="23"/>
  <c r="AG37" i="23"/>
  <c r="AD58" i="28" l="1"/>
  <c r="AD44" i="2" s="1"/>
  <c r="AD47" i="2" s="1"/>
  <c r="AD54" i="2" s="1"/>
  <c r="AD59" i="28"/>
  <c r="AD63" i="2" s="1"/>
  <c r="AD66" i="2" s="1"/>
  <c r="AD73" i="2" s="1"/>
  <c r="AD60" i="28"/>
  <c r="AD82" i="2" s="1"/>
  <c r="AD85" i="2" s="1"/>
  <c r="AD92" i="2" s="1"/>
  <c r="AF31" i="28"/>
  <c r="AF35" i="28" s="1"/>
  <c r="AF37" i="28" s="1"/>
  <c r="AF42" i="28"/>
  <c r="AE44" i="28"/>
  <c r="AE53" i="28" s="1"/>
  <c r="AF106" i="26"/>
  <c r="AF60" i="2" s="1"/>
  <c r="AF105" i="26"/>
  <c r="AF41" i="2" s="1"/>
  <c r="AF107" i="26"/>
  <c r="AF79" i="2" s="1"/>
  <c r="AG29" i="28"/>
  <c r="AG49" i="28" s="1"/>
  <c r="AG51" i="28" s="1"/>
  <c r="AG89" i="26"/>
  <c r="AG93" i="26" s="1"/>
  <c r="AG96" i="26" s="1"/>
  <c r="AG98" i="26" s="1"/>
  <c r="AG101" i="26" s="1"/>
  <c r="AG51" i="26"/>
  <c r="AG55" i="26" s="1"/>
  <c r="AG59" i="26" s="1"/>
  <c r="AG61" i="26" s="1"/>
  <c r="AG64" i="26" s="1"/>
  <c r="AG46" i="23"/>
  <c r="AH37" i="23"/>
  <c r="AE58" i="28" l="1"/>
  <c r="AE44" i="2" s="1"/>
  <c r="AE47" i="2" s="1"/>
  <c r="AE54" i="2" s="1"/>
  <c r="AE59" i="28"/>
  <c r="AE63" i="2" s="1"/>
  <c r="AE66" i="2" s="1"/>
  <c r="AE73" i="2" s="1"/>
  <c r="AE60" i="28"/>
  <c r="AE82" i="2" s="1"/>
  <c r="AE85" i="2" s="1"/>
  <c r="AE92" i="2" s="1"/>
  <c r="AG31" i="28"/>
  <c r="AG35" i="28" s="1"/>
  <c r="AG37" i="28" s="1"/>
  <c r="AG42" i="28"/>
  <c r="AF44" i="28"/>
  <c r="AF53" i="28" s="1"/>
  <c r="AG107" i="26"/>
  <c r="AG79" i="2" s="1"/>
  <c r="AG105" i="26"/>
  <c r="AG41" i="2" s="1"/>
  <c r="AG106" i="26"/>
  <c r="AG60" i="2" s="1"/>
  <c r="AH89" i="26"/>
  <c r="AH93" i="26" s="1"/>
  <c r="AH96" i="26" s="1"/>
  <c r="AH98" i="26" s="1"/>
  <c r="AH101" i="26" s="1"/>
  <c r="AH51" i="26"/>
  <c r="AH55" i="26" s="1"/>
  <c r="AH59" i="26" s="1"/>
  <c r="AH61" i="26" s="1"/>
  <c r="AH29" i="28"/>
  <c r="AH49" i="28" s="1"/>
  <c r="AH51" i="28" s="1"/>
  <c r="AH46" i="23"/>
  <c r="AI37" i="23"/>
  <c r="AH64" i="26" l="1"/>
  <c r="V23" i="10"/>
  <c r="AF58" i="28"/>
  <c r="AF44" i="2" s="1"/>
  <c r="AF47" i="2" s="1"/>
  <c r="AF54" i="2" s="1"/>
  <c r="AF59" i="28"/>
  <c r="AF63" i="2" s="1"/>
  <c r="AF66" i="2" s="1"/>
  <c r="AF73" i="2" s="1"/>
  <c r="AF60" i="28"/>
  <c r="AF82" i="2" s="1"/>
  <c r="AF85" i="2" s="1"/>
  <c r="AF92" i="2" s="1"/>
  <c r="AH31" i="28"/>
  <c r="AH35" i="28" s="1"/>
  <c r="AH37" i="28" s="1"/>
  <c r="AH42" i="28"/>
  <c r="AG44" i="28"/>
  <c r="AG53" i="28" s="1"/>
  <c r="AH105" i="26"/>
  <c r="AH106" i="26"/>
  <c r="AH60" i="2" s="1"/>
  <c r="AH107" i="26"/>
  <c r="AH79" i="2" s="1"/>
  <c r="AI89" i="26"/>
  <c r="AI93" i="26" s="1"/>
  <c r="AI96" i="26" s="1"/>
  <c r="AI98" i="26" s="1"/>
  <c r="AI101" i="26" s="1"/>
  <c r="AI51" i="26"/>
  <c r="AI55" i="26" s="1"/>
  <c r="AI59" i="26" s="1"/>
  <c r="AI61" i="26" s="1"/>
  <c r="AI64" i="26" s="1"/>
  <c r="AI29" i="28"/>
  <c r="AI49" i="28" s="1"/>
  <c r="AI51" i="28" s="1"/>
  <c r="AI46" i="23"/>
  <c r="AJ37" i="23"/>
  <c r="W23" i="10" l="1"/>
  <c r="AH41" i="2"/>
  <c r="W24" i="10"/>
  <c r="AG59" i="28"/>
  <c r="AG63" i="2" s="1"/>
  <c r="AG66" i="2" s="1"/>
  <c r="AG73" i="2" s="1"/>
  <c r="AG60" i="28"/>
  <c r="AG82" i="2" s="1"/>
  <c r="AG85" i="2" s="1"/>
  <c r="AG92" i="2" s="1"/>
  <c r="AG58" i="28"/>
  <c r="AG44" i="2" s="1"/>
  <c r="AG47" i="2" s="1"/>
  <c r="AG54" i="2" s="1"/>
  <c r="AI31" i="28"/>
  <c r="AI35" i="28" s="1"/>
  <c r="AI37" i="28" s="1"/>
  <c r="AI42" i="28"/>
  <c r="AH44" i="28"/>
  <c r="AH53" i="28" s="1"/>
  <c r="AI106" i="26"/>
  <c r="AI60" i="2" s="1"/>
  <c r="AI107" i="26"/>
  <c r="AI79" i="2" s="1"/>
  <c r="AI105" i="26"/>
  <c r="AI41" i="2" s="1"/>
  <c r="AJ29" i="28"/>
  <c r="AJ49" i="28" s="1"/>
  <c r="AJ51" i="28" s="1"/>
  <c r="AJ89" i="26"/>
  <c r="AJ93" i="26" s="1"/>
  <c r="AJ96" i="26" s="1"/>
  <c r="AJ98" i="26" s="1"/>
  <c r="AJ101" i="26" s="1"/>
  <c r="AJ51" i="26"/>
  <c r="AJ55" i="26" s="1"/>
  <c r="AJ59" i="26" s="1"/>
  <c r="AJ61" i="26" s="1"/>
  <c r="AJ64" i="26" s="1"/>
  <c r="AK37" i="23"/>
  <c r="AJ46" i="23"/>
  <c r="AH59" i="28" l="1"/>
  <c r="AH63" i="2" s="1"/>
  <c r="AH66" i="2" s="1"/>
  <c r="AH73" i="2" s="1"/>
  <c r="AH60" i="28"/>
  <c r="AH82" i="2" s="1"/>
  <c r="AH85" i="2" s="1"/>
  <c r="AH92" i="2" s="1"/>
  <c r="AH58" i="28"/>
  <c r="AH44" i="2" s="1"/>
  <c r="AH47" i="2" s="1"/>
  <c r="AH54" i="2" s="1"/>
  <c r="AJ31" i="28"/>
  <c r="AJ35" i="28" s="1"/>
  <c r="AJ37" i="28" s="1"/>
  <c r="AJ42" i="28"/>
  <c r="AI44" i="28"/>
  <c r="AI53" i="28" s="1"/>
  <c r="AJ107" i="26"/>
  <c r="AJ79" i="2" s="1"/>
  <c r="AJ105" i="26"/>
  <c r="AJ41" i="2" s="1"/>
  <c r="AJ106" i="26"/>
  <c r="AJ60" i="2" s="1"/>
  <c r="AK29" i="28"/>
  <c r="AK49" i="28" s="1"/>
  <c r="AK51" i="28" s="1"/>
  <c r="AK89" i="26"/>
  <c r="AK93" i="26" s="1"/>
  <c r="AK96" i="26" s="1"/>
  <c r="AK98" i="26" s="1"/>
  <c r="AK101" i="26" s="1"/>
  <c r="AK51" i="26"/>
  <c r="AK55" i="26" s="1"/>
  <c r="AK59" i="26" s="1"/>
  <c r="AK61" i="26" s="1"/>
  <c r="AK64" i="26" s="1"/>
  <c r="AL37" i="23"/>
  <c r="AK46" i="23"/>
  <c r="AI60" i="28" l="1"/>
  <c r="AI82" i="2" s="1"/>
  <c r="AI85" i="2" s="1"/>
  <c r="AI92" i="2" s="1"/>
  <c r="AI58" i="28"/>
  <c r="AI44" i="2" s="1"/>
  <c r="AI47" i="2" s="1"/>
  <c r="AI54" i="2" s="1"/>
  <c r="AI59" i="28"/>
  <c r="AI63" i="2" s="1"/>
  <c r="AI66" i="2" s="1"/>
  <c r="AI73" i="2" s="1"/>
  <c r="AK31" i="28"/>
  <c r="AK35" i="28" s="1"/>
  <c r="AK37" i="28" s="1"/>
  <c r="AK42" i="28"/>
  <c r="AJ44" i="28"/>
  <c r="AJ53" i="28" s="1"/>
  <c r="AK105" i="26"/>
  <c r="AK41" i="2" s="1"/>
  <c r="AK106" i="26"/>
  <c r="AK60" i="2" s="1"/>
  <c r="AK107" i="26"/>
  <c r="AK79" i="2" s="1"/>
  <c r="AL29" i="28"/>
  <c r="AL49" i="28" s="1"/>
  <c r="AL51" i="28" s="1"/>
  <c r="AL89" i="26"/>
  <c r="AL93" i="26" s="1"/>
  <c r="AL96" i="26" s="1"/>
  <c r="AL98" i="26" s="1"/>
  <c r="AL101" i="26" s="1"/>
  <c r="AL51" i="26"/>
  <c r="AL55" i="26" s="1"/>
  <c r="AL59" i="26" s="1"/>
  <c r="AL61" i="26" s="1"/>
  <c r="AL64" i="26" s="1"/>
  <c r="AL46" i="23"/>
  <c r="AM37" i="23"/>
  <c r="AJ60" i="28" l="1"/>
  <c r="AJ82" i="2" s="1"/>
  <c r="AJ85" i="2" s="1"/>
  <c r="AJ92" i="2" s="1"/>
  <c r="AJ58" i="28"/>
  <c r="AJ44" i="2" s="1"/>
  <c r="AJ47" i="2" s="1"/>
  <c r="AJ54" i="2" s="1"/>
  <c r="AJ59" i="28"/>
  <c r="AJ63" i="2" s="1"/>
  <c r="AJ66" i="2" s="1"/>
  <c r="AJ73" i="2" s="1"/>
  <c r="AL31" i="28"/>
  <c r="AL35" i="28" s="1"/>
  <c r="AL37" i="28" s="1"/>
  <c r="AL42" i="28"/>
  <c r="AK44" i="28"/>
  <c r="AK53" i="28" s="1"/>
  <c r="AL105" i="26"/>
  <c r="AL41" i="2" s="1"/>
  <c r="AL106" i="26"/>
  <c r="AL60" i="2" s="1"/>
  <c r="AL107" i="26"/>
  <c r="AL79" i="2" s="1"/>
  <c r="AM29" i="28"/>
  <c r="AM49" i="28" s="1"/>
  <c r="AM51" i="28" s="1"/>
  <c r="AM89" i="26"/>
  <c r="AM93" i="26" s="1"/>
  <c r="AM96" i="26" s="1"/>
  <c r="AM98" i="26" s="1"/>
  <c r="AM101" i="26" s="1"/>
  <c r="AM51" i="26"/>
  <c r="AM55" i="26" s="1"/>
  <c r="AM59" i="26" s="1"/>
  <c r="AM61" i="26" s="1"/>
  <c r="AM64" i="26" s="1"/>
  <c r="AM46" i="23"/>
  <c r="AN37" i="23"/>
  <c r="AK58" i="28" l="1"/>
  <c r="AK44" i="2" s="1"/>
  <c r="AK47" i="2" s="1"/>
  <c r="AK54" i="2" s="1"/>
  <c r="AK59" i="28"/>
  <c r="AK63" i="2" s="1"/>
  <c r="AK66" i="2" s="1"/>
  <c r="AK73" i="2" s="1"/>
  <c r="AK60" i="28"/>
  <c r="AK82" i="2" s="1"/>
  <c r="AK85" i="2" s="1"/>
  <c r="AK92" i="2" s="1"/>
  <c r="AM31" i="28"/>
  <c r="AM35" i="28" s="1"/>
  <c r="AM37" i="28" s="1"/>
  <c r="AM42" i="28"/>
  <c r="AL44" i="28"/>
  <c r="AL53" i="28" s="1"/>
  <c r="AM105" i="26"/>
  <c r="AM41" i="2" s="1"/>
  <c r="AM106" i="26"/>
  <c r="AM60" i="2" s="1"/>
  <c r="AM107" i="26"/>
  <c r="AM79" i="2" s="1"/>
  <c r="AN29" i="28"/>
  <c r="AN49" i="28" s="1"/>
  <c r="AN51" i="28" s="1"/>
  <c r="AN89" i="26"/>
  <c r="AN93" i="26" s="1"/>
  <c r="AN96" i="26" s="1"/>
  <c r="AN98" i="26" s="1"/>
  <c r="AN101" i="26" s="1"/>
  <c r="AN51" i="26"/>
  <c r="AN55" i="26" s="1"/>
  <c r="AN59" i="26" s="1"/>
  <c r="AN61" i="26" s="1"/>
  <c r="AN64" i="26" s="1"/>
  <c r="AO37" i="23"/>
  <c r="AN46" i="23"/>
  <c r="AL58" i="28" l="1"/>
  <c r="AL44" i="2" s="1"/>
  <c r="AL47" i="2" s="1"/>
  <c r="AL54" i="2" s="1"/>
  <c r="AL59" i="28"/>
  <c r="AL63" i="2" s="1"/>
  <c r="AL66" i="2" s="1"/>
  <c r="AL73" i="2" s="1"/>
  <c r="AL60" i="28"/>
  <c r="AL82" i="2" s="1"/>
  <c r="AL85" i="2" s="1"/>
  <c r="AL92" i="2" s="1"/>
  <c r="AN31" i="28"/>
  <c r="AN35" i="28" s="1"/>
  <c r="AN37" i="28" s="1"/>
  <c r="AN42" i="28"/>
  <c r="AM44" i="28"/>
  <c r="AM53" i="28" s="1"/>
  <c r="AN106" i="26"/>
  <c r="AN60" i="2" s="1"/>
  <c r="AN107" i="26"/>
  <c r="AN79" i="2" s="1"/>
  <c r="AN105" i="26"/>
  <c r="AN41" i="2" s="1"/>
  <c r="AO29" i="28"/>
  <c r="AO49" i="28" s="1"/>
  <c r="AO51" i="28" s="1"/>
  <c r="AO51" i="26"/>
  <c r="AO55" i="26" s="1"/>
  <c r="AO59" i="26" s="1"/>
  <c r="AO61" i="26" s="1"/>
  <c r="AO64" i="26" s="1"/>
  <c r="AO89" i="26"/>
  <c r="AO93" i="26" s="1"/>
  <c r="AO96" i="26" s="1"/>
  <c r="AO98" i="26" s="1"/>
  <c r="AO101" i="26" s="1"/>
  <c r="AP37" i="23"/>
  <c r="AO46" i="23"/>
  <c r="AM58" i="28" l="1"/>
  <c r="AM44" i="2" s="1"/>
  <c r="AM47" i="2" s="1"/>
  <c r="AM54" i="2" s="1"/>
  <c r="AM59" i="28"/>
  <c r="AM63" i="2" s="1"/>
  <c r="AM66" i="2" s="1"/>
  <c r="AM73" i="2" s="1"/>
  <c r="AM60" i="28"/>
  <c r="AM82" i="2" s="1"/>
  <c r="AM85" i="2" s="1"/>
  <c r="AM92" i="2" s="1"/>
  <c r="AO31" i="28"/>
  <c r="AO35" i="28" s="1"/>
  <c r="AO37" i="28" s="1"/>
  <c r="AO42" i="28"/>
  <c r="AN44" i="28"/>
  <c r="AN53" i="28" s="1"/>
  <c r="AO107" i="26"/>
  <c r="AO79" i="2" s="1"/>
  <c r="AO106" i="26"/>
  <c r="AO60" i="2" s="1"/>
  <c r="AO105" i="26"/>
  <c r="AO41" i="2" s="1"/>
  <c r="AP89" i="26"/>
  <c r="AP93" i="26" s="1"/>
  <c r="AP96" i="26" s="1"/>
  <c r="AP98" i="26" s="1"/>
  <c r="AP101" i="26" s="1"/>
  <c r="AP51" i="26"/>
  <c r="AP55" i="26" s="1"/>
  <c r="AP59" i="26" s="1"/>
  <c r="AP61" i="26" s="1"/>
  <c r="AP64" i="26" s="1"/>
  <c r="AP29" i="28"/>
  <c r="AP49" i="28" s="1"/>
  <c r="AP51" i="28" s="1"/>
  <c r="AP46" i="23"/>
  <c r="AQ37" i="23"/>
  <c r="AN58" i="28" l="1"/>
  <c r="AN44" i="2" s="1"/>
  <c r="AN47" i="2" s="1"/>
  <c r="AN54" i="2" s="1"/>
  <c r="AN59" i="28"/>
  <c r="AN63" i="2" s="1"/>
  <c r="AN66" i="2" s="1"/>
  <c r="AN73" i="2" s="1"/>
  <c r="AN60" i="28"/>
  <c r="AN82" i="2" s="1"/>
  <c r="AN85" i="2" s="1"/>
  <c r="AN92" i="2" s="1"/>
  <c r="AP31" i="28"/>
  <c r="AP35" i="28" s="1"/>
  <c r="AP37" i="28" s="1"/>
  <c r="AP42" i="28"/>
  <c r="AO44" i="28"/>
  <c r="AO53" i="28" s="1"/>
  <c r="AP106" i="26"/>
  <c r="AP60" i="2" s="1"/>
  <c r="AP105" i="26"/>
  <c r="AP41" i="2" s="1"/>
  <c r="AP107" i="26"/>
  <c r="AP79" i="2" s="1"/>
  <c r="AQ89" i="26"/>
  <c r="AQ93" i="26" s="1"/>
  <c r="AQ96" i="26" s="1"/>
  <c r="AQ98" i="26" s="1"/>
  <c r="AQ101" i="26" s="1"/>
  <c r="AQ51" i="26"/>
  <c r="AQ55" i="26" s="1"/>
  <c r="AQ59" i="26" s="1"/>
  <c r="AQ61" i="26" s="1"/>
  <c r="AQ64" i="26" s="1"/>
  <c r="AQ29" i="28"/>
  <c r="AQ49" i="28" s="1"/>
  <c r="AQ51" i="28" s="1"/>
  <c r="AQ46" i="23"/>
  <c r="AR37" i="23"/>
  <c r="AO59" i="28" l="1"/>
  <c r="AO63" i="2" s="1"/>
  <c r="AO66" i="2" s="1"/>
  <c r="AO73" i="2" s="1"/>
  <c r="AO60" i="28"/>
  <c r="AO82" i="2" s="1"/>
  <c r="AO85" i="2" s="1"/>
  <c r="AO92" i="2" s="1"/>
  <c r="AO58" i="28"/>
  <c r="AO44" i="2" s="1"/>
  <c r="AO47" i="2" s="1"/>
  <c r="AO54" i="2" s="1"/>
  <c r="AQ31" i="28"/>
  <c r="AQ35" i="28" s="1"/>
  <c r="AQ37" i="28" s="1"/>
  <c r="AQ42" i="28"/>
  <c r="AP44" i="28"/>
  <c r="AP53" i="28" s="1"/>
  <c r="AQ106" i="26"/>
  <c r="AQ60" i="2" s="1"/>
  <c r="AQ105" i="26"/>
  <c r="AQ41" i="2" s="1"/>
  <c r="AQ107" i="26"/>
  <c r="AQ79" i="2" s="1"/>
  <c r="AR46" i="23"/>
  <c r="D46" i="23" s="1"/>
  <c r="AR29" i="28"/>
  <c r="AR49" i="28" s="1"/>
  <c r="AR89" i="26"/>
  <c r="AR93" i="26" s="1"/>
  <c r="AR96" i="26" s="1"/>
  <c r="AR51" i="26"/>
  <c r="AR55" i="26" s="1"/>
  <c r="AR59" i="26" s="1"/>
  <c r="AP59" i="28" l="1"/>
  <c r="AP63" i="2" s="1"/>
  <c r="AP66" i="2" s="1"/>
  <c r="AP73" i="2" s="1"/>
  <c r="AP60" i="28"/>
  <c r="AP82" i="2" s="1"/>
  <c r="AP85" i="2" s="1"/>
  <c r="AP92" i="2" s="1"/>
  <c r="AP58" i="28"/>
  <c r="AP44" i="2" s="1"/>
  <c r="AP47" i="2" s="1"/>
  <c r="AP54" i="2" s="1"/>
  <c r="AR51" i="28"/>
  <c r="D51" i="28" s="1"/>
  <c r="D49" i="28"/>
  <c r="AR31" i="28"/>
  <c r="AR35" i="28" s="1"/>
  <c r="AR37" i="28" s="1"/>
  <c r="AR42" i="28"/>
  <c r="AR44" i="28" s="1"/>
  <c r="AQ44" i="28"/>
  <c r="AQ53" i="28" s="1"/>
  <c r="AR61" i="26"/>
  <c r="D59" i="26"/>
  <c r="AR98" i="26"/>
  <c r="D96" i="26"/>
  <c r="D44" i="28" l="1"/>
  <c r="AR53" i="28"/>
  <c r="AQ60" i="28"/>
  <c r="AQ82" i="2" s="1"/>
  <c r="AQ85" i="2" s="1"/>
  <c r="AQ92" i="2" s="1"/>
  <c r="AQ58" i="28"/>
  <c r="AQ44" i="2" s="1"/>
  <c r="AQ47" i="2" s="1"/>
  <c r="AQ54" i="2" s="1"/>
  <c r="AQ59" i="28"/>
  <c r="AQ63" i="2" s="1"/>
  <c r="AQ66" i="2" s="1"/>
  <c r="AQ73" i="2" s="1"/>
  <c r="D42" i="28"/>
  <c r="D35" i="28"/>
  <c r="AR64" i="26"/>
  <c r="D61" i="26"/>
  <c r="D37" i="28"/>
  <c r="AR101" i="26"/>
  <c r="D101" i="26" s="1"/>
  <c r="D98" i="26"/>
  <c r="AR60" i="28" l="1"/>
  <c r="AR82" i="2" s="1"/>
  <c r="D82" i="2" s="1"/>
  <c r="E17" i="2" s="1"/>
  <c r="AR58" i="28"/>
  <c r="AR44" i="2" s="1"/>
  <c r="D44" i="2" s="1"/>
  <c r="C17" i="2" s="1"/>
  <c r="AR59" i="28"/>
  <c r="AR63" i="2" s="1"/>
  <c r="D63" i="2" s="1"/>
  <c r="D17" i="2" s="1"/>
  <c r="K36" i="10" s="1"/>
  <c r="D53" i="28"/>
  <c r="D47" i="33"/>
  <c r="D46" i="33"/>
  <c r="D45" i="33"/>
  <c r="D37" i="33"/>
  <c r="D100" i="29"/>
  <c r="D98" i="29"/>
  <c r="D99" i="29"/>
  <c r="D56" i="29"/>
  <c r="AR105" i="26"/>
  <c r="AR41" i="2" s="1"/>
  <c r="D41" i="2" s="1"/>
  <c r="C14" i="2" s="1"/>
  <c r="AR106" i="26"/>
  <c r="AR107" i="26"/>
  <c r="D64" i="26"/>
  <c r="L36" i="10" l="1"/>
  <c r="F8" i="10"/>
  <c r="J33" i="10"/>
  <c r="J36" i="10"/>
  <c r="D60" i="28"/>
  <c r="D58" i="28"/>
  <c r="D59" i="28"/>
  <c r="D107" i="26"/>
  <c r="AR79" i="2"/>
  <c r="D106" i="26"/>
  <c r="AR60" i="2"/>
  <c r="D105" i="26"/>
  <c r="AR66" i="2" l="1"/>
  <c r="D60" i="2"/>
  <c r="D14" i="2" s="1"/>
  <c r="AR85" i="2"/>
  <c r="D79" i="2"/>
  <c r="E14" i="2" s="1"/>
  <c r="F5" i="10" s="1"/>
  <c r="F11" i="10" s="1"/>
  <c r="AR47" i="2"/>
  <c r="AR54" i="2" s="1"/>
  <c r="C20" i="2"/>
  <c r="J16" i="10" s="1"/>
  <c r="E20" i="2" l="1"/>
  <c r="L33" i="10"/>
  <c r="D20" i="2"/>
  <c r="K33" i="10"/>
  <c r="C31" i="2"/>
  <c r="C34" i="2" s="1"/>
  <c r="J20" i="10" s="1"/>
  <c r="J39" i="10"/>
  <c r="AR92" i="2"/>
  <c r="D92" i="2" s="1"/>
  <c r="D85" i="2"/>
  <c r="AR73" i="2"/>
  <c r="D73" i="2" s="1"/>
  <c r="D66" i="2"/>
  <c r="D54" i="2"/>
  <c r="C36" i="2"/>
  <c r="J21" i="10" s="1"/>
  <c r="D47" i="2"/>
  <c r="D31" i="2" l="1"/>
  <c r="K16" i="10"/>
  <c r="F14" i="2"/>
  <c r="L16" i="10"/>
  <c r="E31" i="2"/>
  <c r="E33" i="2" s="1"/>
  <c r="AH13" i="10" s="1"/>
  <c r="L39" i="10"/>
  <c r="F16" i="2"/>
  <c r="F18" i="2"/>
  <c r="F20" i="2"/>
  <c r="F17" i="2"/>
  <c r="F13" i="2"/>
  <c r="F15" i="2"/>
  <c r="F19" i="2"/>
  <c r="C33" i="2"/>
  <c r="J19" i="10" s="1"/>
  <c r="D33" i="2"/>
  <c r="D35" i="2" s="1"/>
  <c r="D34" i="2"/>
  <c r="K20" i="10" s="1"/>
  <c r="K39" i="10"/>
  <c r="E35" i="2" l="1"/>
  <c r="E34" i="2"/>
  <c r="E9" i="2" s="1"/>
  <c r="L19" i="10"/>
  <c r="C35" i="2"/>
  <c r="K19" i="10"/>
  <c r="D6" i="1" l="1"/>
  <c r="AJ13" i="10"/>
  <c r="L20" i="10"/>
</calcChain>
</file>

<file path=xl/sharedStrings.xml><?xml version="1.0" encoding="utf-8"?>
<sst xmlns="http://schemas.openxmlformats.org/spreadsheetml/2006/main" count="2319" uniqueCount="941">
  <si>
    <t>Multimodal Improvements to Safely Connect Tulsa at US-75 and 81st Street Interchange</t>
  </si>
  <si>
    <t>Benefits-Cost Analysis (BCA) Summary</t>
  </si>
  <si>
    <t>All $ values 2021, unless otherwise noted</t>
  </si>
  <si>
    <t>Calculation</t>
  </si>
  <si>
    <t>Note</t>
  </si>
  <si>
    <t>Input</t>
  </si>
  <si>
    <t>Sensitivity</t>
  </si>
  <si>
    <t>Sensitivity On?</t>
  </si>
  <si>
    <t>Benefit Cost Ratio (7% disc.)</t>
  </si>
  <si>
    <t>Discount Factor</t>
  </si>
  <si>
    <t>Benefits ($ millions)</t>
  </si>
  <si>
    <t>% of Benefit</t>
  </si>
  <si>
    <t>Safety Benefits</t>
  </si>
  <si>
    <t xml:space="preserve">Travel Time </t>
  </si>
  <si>
    <t>Reduced Vehicle Operating Costs</t>
  </si>
  <si>
    <t>Emissions Reduction*</t>
  </si>
  <si>
    <t>Pedestrian / Cycling Improvements</t>
  </si>
  <si>
    <t>Reduced Bridge Hits</t>
  </si>
  <si>
    <t>Residual Value</t>
  </si>
  <si>
    <t>Present Value of Benefit (Cost)</t>
  </si>
  <si>
    <t>Emissions 7% discount factor includes 3% discount for CO2</t>
  </si>
  <si>
    <t>Costs ($ millions)</t>
  </si>
  <si>
    <t>Capital Cost</t>
  </si>
  <si>
    <t>Maintenance</t>
  </si>
  <si>
    <t>Financial Metrics ($ millions)</t>
  </si>
  <si>
    <t>Present Value of Benefits</t>
  </si>
  <si>
    <t>Present Value of Costs</t>
  </si>
  <si>
    <t>Net Present Value (NPV)</t>
  </si>
  <si>
    <t xml:space="preserve">Benefit Cost Ratio </t>
  </si>
  <si>
    <t>Return on Investment</t>
  </si>
  <si>
    <t>Internal Rate of Return</t>
  </si>
  <si>
    <t>Results - Undiscounted</t>
  </si>
  <si>
    <t>Benefits</t>
  </si>
  <si>
    <t>Total</t>
  </si>
  <si>
    <t>Emmisions Reduction</t>
  </si>
  <si>
    <t>Pedestrian / Cycling Improvments</t>
  </si>
  <si>
    <t>Costs</t>
  </si>
  <si>
    <t>Net Present Value of Benefits - Costs</t>
  </si>
  <si>
    <t>Results - 3% Discount</t>
  </si>
  <si>
    <t>Results - 7% Discount</t>
  </si>
  <si>
    <t>Inputs</t>
  </si>
  <si>
    <t>Category</t>
  </si>
  <si>
    <t>Variable</t>
  </si>
  <si>
    <t>Unit</t>
  </si>
  <si>
    <t>Value</t>
  </si>
  <si>
    <t xml:space="preserve">Source </t>
  </si>
  <si>
    <t>Periodic Values</t>
  </si>
  <si>
    <t>Timing</t>
  </si>
  <si>
    <t>Model Start Year</t>
  </si>
  <si>
    <t>Year</t>
  </si>
  <si>
    <t>Model Constraint</t>
  </si>
  <si>
    <t>Base Year of Analysis</t>
  </si>
  <si>
    <t>BCA Guidelines</t>
  </si>
  <si>
    <t>Construction Start Year</t>
  </si>
  <si>
    <t>ODOT Provided</t>
  </si>
  <si>
    <t>Construction Duration</t>
  </si>
  <si>
    <t>Years</t>
  </si>
  <si>
    <t>Construction Completion</t>
  </si>
  <si>
    <t>First Year of Benefit</t>
  </si>
  <si>
    <t>Length of Analysis Utilized</t>
  </si>
  <si>
    <t>Length of Analysis - Baseline</t>
  </si>
  <si>
    <t>Length of Analysis - Sensitivity</t>
  </si>
  <si>
    <t>Analysis Period beyond BCA Guidelines</t>
  </si>
  <si>
    <t>End of Analysis</t>
  </si>
  <si>
    <t>Discount Factors</t>
  </si>
  <si>
    <t>No Discount Factor</t>
  </si>
  <si>
    <t>%</t>
  </si>
  <si>
    <t>3% Discount Factor</t>
  </si>
  <si>
    <t>7% Discount Factor</t>
  </si>
  <si>
    <t>Year of estimate for Capital Costs</t>
  </si>
  <si>
    <t>Year of estimate for Maintenance Costs</t>
  </si>
  <si>
    <t>Year of estimate for UT Costs</t>
  </si>
  <si>
    <t>Year of estimate for RW Costs</t>
  </si>
  <si>
    <t>Year of estimate for Design Costs</t>
  </si>
  <si>
    <t>Annual Conversion</t>
  </si>
  <si>
    <t>days/year</t>
  </si>
  <si>
    <t>Known conversion</t>
  </si>
  <si>
    <t>Conversion from kg to metric tons</t>
  </si>
  <si>
    <t>kg/metric ton</t>
  </si>
  <si>
    <t>Project Attributes</t>
  </si>
  <si>
    <t>$</t>
  </si>
  <si>
    <t>Capital Cost - Sensitivity</t>
  </si>
  <si>
    <t>% Increase to value in row above</t>
  </si>
  <si>
    <t>Residual Life (Project Bridge Cost)</t>
  </si>
  <si>
    <t>Bridge Costs Provided from ODOT</t>
  </si>
  <si>
    <t>Useful Life</t>
  </si>
  <si>
    <t>Design life provided by ODOT</t>
  </si>
  <si>
    <t>Existing Asset Useful Value</t>
  </si>
  <si>
    <t>Proposed Sidewalk Width</t>
  </si>
  <si>
    <t>feet</t>
  </si>
  <si>
    <t>Based on project 60% design plans</t>
  </si>
  <si>
    <t>Number of Marked-Crosswalks</t>
  </si>
  <si>
    <t>each</t>
  </si>
  <si>
    <t>Number of Signals for Pedestrian Crossing</t>
  </si>
  <si>
    <t>Sidewalk length</t>
  </si>
  <si>
    <t>miles</t>
  </si>
  <si>
    <t xml:space="preserve">Traffic </t>
  </si>
  <si>
    <t>Portion of Heavy Vehicles</t>
  </si>
  <si>
    <t>ODOT Provided Input</t>
  </si>
  <si>
    <t>Traffic Analysis Base Year</t>
  </si>
  <si>
    <t>Traffic Analysis Base Year ADT</t>
  </si>
  <si>
    <t>ADT</t>
  </si>
  <si>
    <t>Traffic Analysis Future Year</t>
  </si>
  <si>
    <t>Traffic Analysis Future Year ADT</t>
  </si>
  <si>
    <t xml:space="preserve">Crash Modification Factor </t>
  </si>
  <si>
    <t>factor</t>
  </si>
  <si>
    <t>Federal Highway Administration DDI Informational Guide 2nd Edition (NCHRP Report 959)</t>
  </si>
  <si>
    <t>Crash Modification Factor  - Sensitivity</t>
  </si>
  <si>
    <t>Safety</t>
  </si>
  <si>
    <t>Incidents/year</t>
  </si>
  <si>
    <t>ODOT Data</t>
  </si>
  <si>
    <t>Base Year</t>
  </si>
  <si>
    <t>year</t>
  </si>
  <si>
    <t>Non-incapacitating injuries or possible injury</t>
  </si>
  <si>
    <t>$/incident</t>
  </si>
  <si>
    <t>BCA Guidelines Table A-1</t>
  </si>
  <si>
    <t>PDO</t>
  </si>
  <si>
    <t>BCA Guidelines Table A-2</t>
  </si>
  <si>
    <t>Time Savings</t>
  </si>
  <si>
    <t>Current ped path length</t>
  </si>
  <si>
    <t>Utilizing 91st St crossing, map of current path shown in tab "REF Ped Path"</t>
  </si>
  <si>
    <t>Proposed ped path length</t>
  </si>
  <si>
    <t>Pedestrian Speed</t>
  </si>
  <si>
    <t>miles per hour</t>
  </si>
  <si>
    <t>BCA Guidelines Table A-8, note 1</t>
  </si>
  <si>
    <t>Value of Travel Time Savings</t>
  </si>
  <si>
    <t>Personal</t>
  </si>
  <si>
    <t>$/person/hr</t>
  </si>
  <si>
    <t>BCA Guidelines Table A-3</t>
  </si>
  <si>
    <t>Business</t>
  </si>
  <si>
    <t>All Purposes</t>
  </si>
  <si>
    <t>Walking, Cycling, Waiting, Standing, and Transfer Time</t>
  </si>
  <si>
    <t>Truck Drivers</t>
  </si>
  <si>
    <t>Bus Drivers</t>
  </si>
  <si>
    <t>Transit Rail Drivers</t>
  </si>
  <si>
    <t>Locomotive Engineers</t>
  </si>
  <si>
    <t>Average Vehicle Occupancy</t>
  </si>
  <si>
    <t>Passenger Vehicles Weekday Peak</t>
  </si>
  <si>
    <t>per/veh</t>
  </si>
  <si>
    <t>BCA Guidelines Table A-4</t>
  </si>
  <si>
    <t>Passenger Vehicles Weekday Off-Peak</t>
  </si>
  <si>
    <t>Passenger Vehicles Weekend</t>
  </si>
  <si>
    <t>Passenger Vehicles All Travel</t>
  </si>
  <si>
    <t>Heavy Vehicle Occupancy</t>
  </si>
  <si>
    <t>Assumed value</t>
  </si>
  <si>
    <t>Delay - No Build Case</t>
  </si>
  <si>
    <t>Base Year Delay</t>
  </si>
  <si>
    <t>Vehicle-hours per day</t>
  </si>
  <si>
    <t>SYNCHRO Results</t>
  </si>
  <si>
    <t>Future Year Delay</t>
  </si>
  <si>
    <t>Future Year Delay - Sensitivity</t>
  </si>
  <si>
    <t>Future Year</t>
  </si>
  <si>
    <t>Delay - Build Case (Alternative)</t>
  </si>
  <si>
    <t>Emissions Produced</t>
  </si>
  <si>
    <t>CO2</t>
  </si>
  <si>
    <t>Emissions Base Year - No Build</t>
  </si>
  <si>
    <t>kg-per day</t>
  </si>
  <si>
    <t>Emissions Future Year - No Build</t>
  </si>
  <si>
    <t>NOx</t>
  </si>
  <si>
    <t>Emissions Base Year  - No Build</t>
  </si>
  <si>
    <t>Emissions Base Year  - Build</t>
  </si>
  <si>
    <t>Emissions Base Year - Build</t>
  </si>
  <si>
    <t>Emissions Future Year - Build</t>
  </si>
  <si>
    <t>Emissions Reductions Benefits</t>
  </si>
  <si>
    <t>NOX</t>
  </si>
  <si>
    <t>$/metric ton</t>
  </si>
  <si>
    <t>See table to right</t>
  </si>
  <si>
    <t>BCA Guidelines Table A-6</t>
  </si>
  <si>
    <t>SOX</t>
  </si>
  <si>
    <t>PM2.5</t>
  </si>
  <si>
    <t>Vehicle Operating Costs</t>
  </si>
  <si>
    <t>Fuel Consumption Base Year - No Build</t>
  </si>
  <si>
    <t>gallons</t>
  </si>
  <si>
    <t>Fuel Consumption Future Year - No Build</t>
  </si>
  <si>
    <t>Fuel Consumption Base Year - Build</t>
  </si>
  <si>
    <t>Fuel Consumption Future Year - Build</t>
  </si>
  <si>
    <t>Pedestrian Facility Improvements</t>
  </si>
  <si>
    <t>Pedestrian Base Year</t>
  </si>
  <si>
    <t>INCOG Provided Data</t>
  </si>
  <si>
    <t>Pedestrian Base Year Count</t>
  </si>
  <si>
    <t>Ped/day</t>
  </si>
  <si>
    <t>Pedestrian Annual Growth Rate</t>
  </si>
  <si>
    <t>Census data City of Tulsa, OK. Calcs in tab "REF- Pedestrian"</t>
  </si>
  <si>
    <t>Expanded Sidewalk Value (per foot of added Width)</t>
  </si>
  <si>
    <t>$ / person-mile walked</t>
  </si>
  <si>
    <t>BCA Guidelines Table A-8</t>
  </si>
  <si>
    <t xml:space="preserve">Install Marked-Crosswalk on Roadway with Volumes ≥10,000 Vehicles per Day </t>
  </si>
  <si>
    <t>$ / each</t>
  </si>
  <si>
    <t>Install Signal for Pedestrian Crossing on Roadway with Volumes ≥13,000 Vehicles per Day</t>
  </si>
  <si>
    <t>Bridge Hits</t>
  </si>
  <si>
    <t>Number of Bridge Hits in District 8</t>
  </si>
  <si>
    <t>count</t>
  </si>
  <si>
    <t>ODOT provided input</t>
  </si>
  <si>
    <t>Perdiod of Bridge Hits Analyzed</t>
  </si>
  <si>
    <t>years</t>
  </si>
  <si>
    <t>Number of Low Clearance Bridge in District 8</t>
  </si>
  <si>
    <t>Probability of Bridge Hit</t>
  </si>
  <si>
    <t>incidents / Period</t>
  </si>
  <si>
    <t>incidents / year</t>
  </si>
  <si>
    <t>Bridge Replacement Cost</t>
  </si>
  <si>
    <t>Full bridge replacement related bridge hit not assumed realistic</t>
  </si>
  <si>
    <t>Average bridge damage per hit</t>
  </si>
  <si>
    <t>Total cost of bridge hit</t>
  </si>
  <si>
    <t>Project Costs</t>
  </si>
  <si>
    <t>Calendar Year</t>
  </si>
  <si>
    <t>Model Period</t>
  </si>
  <si>
    <t xml:space="preserve">Base Year </t>
  </si>
  <si>
    <t>Flag</t>
  </si>
  <si>
    <t>Years from Base Calendar Year</t>
  </si>
  <si>
    <t>Benefit Period Flag</t>
  </si>
  <si>
    <t>Analysis Period</t>
  </si>
  <si>
    <t>Benefit Year</t>
  </si>
  <si>
    <t>Description</t>
  </si>
  <si>
    <t>No Build Case (Baseline)</t>
  </si>
  <si>
    <t>Capital Costs</t>
  </si>
  <si>
    <t>Environmental</t>
  </si>
  <si>
    <t>Design</t>
  </si>
  <si>
    <t>ROW</t>
  </si>
  <si>
    <t>Utilities</t>
  </si>
  <si>
    <t>Subtotal</t>
  </si>
  <si>
    <t xml:space="preserve">Discounted </t>
  </si>
  <si>
    <t>Undiscounted</t>
  </si>
  <si>
    <t>3% Discount</t>
  </si>
  <si>
    <t>7% Discount</t>
  </si>
  <si>
    <t>Maintenance Costs</t>
  </si>
  <si>
    <t>Build Case (Alternative)</t>
  </si>
  <si>
    <t>Cost (Alternative - Baseline)</t>
  </si>
  <si>
    <t>Total Costs</t>
  </si>
  <si>
    <t>Traffic Forecasts</t>
  </si>
  <si>
    <t>No Build Traffic</t>
  </si>
  <si>
    <t>Vehicular Traffic</t>
  </si>
  <si>
    <t>Annual Growth Rate</t>
  </si>
  <si>
    <t>Traffic Forecast Start Year</t>
  </si>
  <si>
    <t>Traffic Forcecast Start Year ADT</t>
  </si>
  <si>
    <t>Total Vehicular Traffic</t>
  </si>
  <si>
    <t>Passenger Vehicles</t>
  </si>
  <si>
    <t>Heavy Vehicles</t>
  </si>
  <si>
    <t>Pedestrian</t>
  </si>
  <si>
    <t>Base Year Pedestrians</t>
  </si>
  <si>
    <t>Start Year</t>
  </si>
  <si>
    <t>Pedestrian Forecast</t>
  </si>
  <si>
    <t>Build Traffic</t>
  </si>
  <si>
    <t>Pedestrian Traffic</t>
  </si>
  <si>
    <t>Traffic</t>
  </si>
  <si>
    <t>Accidents Calculation</t>
  </si>
  <si>
    <t>Accidents Rate</t>
  </si>
  <si>
    <t>Total Crashes</t>
  </si>
  <si>
    <t>% Incidents/ADT</t>
  </si>
  <si>
    <t>Cost Per Incident</t>
  </si>
  <si>
    <t>Accidents Projection</t>
  </si>
  <si>
    <t>Incident</t>
  </si>
  <si>
    <t>Accidents Cost</t>
  </si>
  <si>
    <t>CMF</t>
  </si>
  <si>
    <t>Benefit (Alternative - Baseline)</t>
  </si>
  <si>
    <t>Total Benefit</t>
  </si>
  <si>
    <t>Travel Time Savings Benefits</t>
  </si>
  <si>
    <t>Delay Calculations</t>
  </si>
  <si>
    <t>Average Annual Increase</t>
  </si>
  <si>
    <t>Annual Increase Flag</t>
  </si>
  <si>
    <t>flag</t>
  </si>
  <si>
    <t>Delay</t>
  </si>
  <si>
    <t>Value of Time</t>
  </si>
  <si>
    <t xml:space="preserve">Value of All Purposes </t>
  </si>
  <si>
    <t>Vehicle Occupancy</t>
  </si>
  <si>
    <t>Portion of Passenger Vehicles</t>
  </si>
  <si>
    <t>Cost of Delay</t>
  </si>
  <si>
    <t>$/Day</t>
  </si>
  <si>
    <t>$/year</t>
  </si>
  <si>
    <t>Current Path</t>
  </si>
  <si>
    <t>Walking Speed</t>
  </si>
  <si>
    <t>Trip Duration</t>
  </si>
  <si>
    <t>hour</t>
  </si>
  <si>
    <t>Pedestrian Travel Time</t>
  </si>
  <si>
    <t>Ped hours / day</t>
  </si>
  <si>
    <t>Pedestrian cost of trip</t>
  </si>
  <si>
    <t>$/day</t>
  </si>
  <si>
    <t xml:space="preserve">Total </t>
  </si>
  <si>
    <t>Total Cost</t>
  </si>
  <si>
    <t>New Path</t>
  </si>
  <si>
    <t>Emissions Benefits</t>
  </si>
  <si>
    <t>Total Emissions</t>
  </si>
  <si>
    <t>Convert to tons</t>
  </si>
  <si>
    <t>kg/ton</t>
  </si>
  <si>
    <t>Annualization Factor</t>
  </si>
  <si>
    <t>day/year</t>
  </si>
  <si>
    <t>kg-per year</t>
  </si>
  <si>
    <t>Cost of Emissions</t>
  </si>
  <si>
    <t>Monetized Value per Metric Ton</t>
  </si>
  <si>
    <t>$ per year</t>
  </si>
  <si>
    <t>NOTE: 7% Discount in row above calculates CO2 at 3% discount.</t>
  </si>
  <si>
    <t>Vehicle Operating Costs Benefits</t>
  </si>
  <si>
    <t>Fuel Consumed</t>
  </si>
  <si>
    <t>Fuel Consumption Calculation</t>
  </si>
  <si>
    <t xml:space="preserve">Fuel Consumption Base Year </t>
  </si>
  <si>
    <t xml:space="preserve">Fuel Consumption Future Year </t>
  </si>
  <si>
    <t>gallons-per day</t>
  </si>
  <si>
    <t>Total Fuel Consumption</t>
  </si>
  <si>
    <t>Gallons per year</t>
  </si>
  <si>
    <t>Gasonline / Diesel Split</t>
  </si>
  <si>
    <t>Gasoline Consumption</t>
  </si>
  <si>
    <t>Diesel Consumption</t>
  </si>
  <si>
    <t>Cost of Fuel Consumption</t>
  </si>
  <si>
    <t>Gasoline Value per Metric Ton</t>
  </si>
  <si>
    <t>$ / gallon</t>
  </si>
  <si>
    <t>Diesel Value per Metric Ton</t>
  </si>
  <si>
    <t>Cost of Gasoline Consumption</t>
  </si>
  <si>
    <t>Cost of Diesel Consumption</t>
  </si>
  <si>
    <t>Pedestrian / Cycling Improvments Benefits</t>
  </si>
  <si>
    <t>No sidewalk existing</t>
  </si>
  <si>
    <t>No crosswalk existing</t>
  </si>
  <si>
    <t>No pedestrian signals existing</t>
  </si>
  <si>
    <t>New Sidewalk</t>
  </si>
  <si>
    <t>Pedestrian Travel Distance</t>
  </si>
  <si>
    <t>Ped miles / day</t>
  </si>
  <si>
    <t>Expanded Sidewalk</t>
  </si>
  <si>
    <t>Expanded Sidewalk Value</t>
  </si>
  <si>
    <t>Benefit of expanded sidewalk</t>
  </si>
  <si>
    <t>Additional Crosswalks</t>
  </si>
  <si>
    <t>New Crosswalks</t>
  </si>
  <si>
    <t>$ / use</t>
  </si>
  <si>
    <t>Additional Pedestrian Signals</t>
  </si>
  <si>
    <t>New Ped Signals</t>
  </si>
  <si>
    <t>Bridge Hits Benefits</t>
  </si>
  <si>
    <t>Cost of Bridge Hit</t>
  </si>
  <si>
    <t>Average damage per bridge hit</t>
  </si>
  <si>
    <t>$ / year</t>
  </si>
  <si>
    <t>Residual Value Benefits</t>
  </si>
  <si>
    <t>Bridge Cost</t>
  </si>
  <si>
    <t xml:space="preserve">Residual Value </t>
  </si>
  <si>
    <t>Benefit (Baseline - Alternative)</t>
  </si>
  <si>
    <t>Baseline</t>
  </si>
  <si>
    <t>Alternative</t>
  </si>
  <si>
    <t>Table 1: Summary of Benefits</t>
  </si>
  <si>
    <t>Baseline Status and Problems to be Addressed</t>
  </si>
  <si>
    <t>Change to Baseline</t>
  </si>
  <si>
    <t>Types of Impacts &amp; Benefits</t>
  </si>
  <si>
    <t xml:space="preserve">Population Affected by Impacts </t>
  </si>
  <si>
    <t>Benefit Value (2021 $ millions, 7% discount)</t>
  </si>
  <si>
    <t>The US-75 corridor is included in the top 5% of freight bottlenecks in the Tulsa area and is listed as a critical freight corridor in ODOT's State Freight Plan. 
A specific challenge associated with the interchange is to adequately accommodate existing future and travel demand. The current interchange movements are operating at a Level of Service D and AM and PM peak hours are showing a total network delay of 47 and 44 vehicle hours of delay, respectively. Additionally, there are no multimodal accommodations across US-75.</t>
  </si>
  <si>
    <t>The Oklahoma Department of Transportation (ODOT) and City of Tulsa (COT) propose to reconstruct the existing US-75/W. 81st Street interchange as a diverging diamond interchange (DDI), provide additional capacity on W. 81 Street, and provide new pedestrian and bicycle facilities across US-75. This innovative design will improve safety and traffic flow and provide a connection for non-vehicular traffic where none exists today.</t>
  </si>
  <si>
    <r>
      <rPr>
        <b/>
        <i/>
        <sz val="11"/>
        <color theme="1"/>
        <rFont val="Times New Roman"/>
        <family val="1"/>
      </rPr>
      <t>Impact</t>
    </r>
    <r>
      <rPr>
        <sz val="11"/>
        <color theme="1"/>
        <rFont val="Times New Roman"/>
        <family val="1"/>
      </rPr>
      <t xml:space="preserve"> - New diverging diamond interchange
</t>
    </r>
    <r>
      <rPr>
        <b/>
        <i/>
        <sz val="11"/>
        <color theme="1"/>
        <rFont val="Times New Roman"/>
        <family val="1"/>
      </rPr>
      <t>Benefit</t>
    </r>
    <r>
      <rPr>
        <sz val="11"/>
        <color theme="1"/>
        <rFont val="Times New Roman"/>
        <family val="1"/>
      </rPr>
      <t xml:space="preserve"> - Improved vehicle safety </t>
    </r>
  </si>
  <si>
    <t xml:space="preserve">Vehicle Owners and Truck Operators </t>
  </si>
  <si>
    <r>
      <rPr>
        <b/>
        <i/>
        <sz val="11"/>
        <color theme="1"/>
        <rFont val="Times New Roman"/>
        <family val="1"/>
      </rPr>
      <t>Impac</t>
    </r>
    <r>
      <rPr>
        <sz val="11"/>
        <color theme="1"/>
        <rFont val="Times New Roman"/>
        <family val="1"/>
      </rPr>
      <t xml:space="preserve">t - Reduced vehicular delays at interchange and reduced distances for pedestrian routes
</t>
    </r>
    <r>
      <rPr>
        <b/>
        <i/>
        <sz val="11"/>
        <color theme="1"/>
        <rFont val="Times New Roman"/>
        <family val="1"/>
      </rPr>
      <t>Benefit</t>
    </r>
    <r>
      <rPr>
        <sz val="11"/>
        <color theme="1"/>
        <rFont val="Times New Roman"/>
        <family val="1"/>
      </rPr>
      <t xml:space="preserve"> - Reduction in travel times </t>
    </r>
  </si>
  <si>
    <t>Vehicle Owners, Truck Operators, and Pedestrians</t>
  </si>
  <si>
    <r>
      <rPr>
        <b/>
        <i/>
        <sz val="11"/>
        <color theme="1"/>
        <rFont val="Times New Roman"/>
        <family val="1"/>
      </rPr>
      <t>Impact</t>
    </r>
    <r>
      <rPr>
        <sz val="11"/>
        <color theme="1"/>
        <rFont val="Times New Roman"/>
        <family val="1"/>
      </rPr>
      <t xml:space="preserve"> - Shorter delays at interchange
</t>
    </r>
    <r>
      <rPr>
        <b/>
        <i/>
        <sz val="11"/>
        <color theme="1"/>
        <rFont val="Times New Roman"/>
        <family val="1"/>
      </rPr>
      <t>Benefit</t>
    </r>
    <r>
      <rPr>
        <sz val="11"/>
        <color theme="1"/>
        <rFont val="Times New Roman"/>
        <family val="1"/>
      </rPr>
      <t xml:space="preserve"> - Reduced vehicle operating costs (fuel reduction) </t>
    </r>
  </si>
  <si>
    <r>
      <rPr>
        <b/>
        <i/>
        <sz val="11"/>
        <color theme="1"/>
        <rFont val="Times New Roman"/>
        <family val="1"/>
      </rPr>
      <t>Impact</t>
    </r>
    <r>
      <rPr>
        <sz val="11"/>
        <color theme="1"/>
        <rFont val="Times New Roman"/>
        <family val="1"/>
      </rPr>
      <t xml:space="preserve"> - Reduced time spent idling during intersection delays
</t>
    </r>
    <r>
      <rPr>
        <b/>
        <i/>
        <sz val="11"/>
        <color theme="1"/>
        <rFont val="Times New Roman"/>
        <family val="1"/>
      </rPr>
      <t>Benefit</t>
    </r>
    <r>
      <rPr>
        <sz val="11"/>
        <color theme="1"/>
        <rFont val="Times New Roman"/>
        <family val="1"/>
      </rPr>
      <t xml:space="preserve"> - Emissions reduction </t>
    </r>
  </si>
  <si>
    <t xml:space="preserve">Vehicle Owners, Truck Operators, and Residents of adjacent communities </t>
  </si>
  <si>
    <r>
      <rPr>
        <b/>
        <i/>
        <sz val="11"/>
        <color theme="1"/>
        <rFont val="Times New Roman"/>
        <family val="1"/>
      </rPr>
      <t>Impact</t>
    </r>
    <r>
      <rPr>
        <sz val="11"/>
        <color theme="1"/>
        <rFont val="Times New Roman"/>
        <family val="1"/>
      </rPr>
      <t xml:space="preserve"> - New sidewalks providing reduced walking distances and walk/cycling times
</t>
    </r>
    <r>
      <rPr>
        <b/>
        <i/>
        <sz val="11"/>
        <color theme="1"/>
        <rFont val="Times New Roman"/>
        <family val="1"/>
      </rPr>
      <t>Benefit</t>
    </r>
    <r>
      <rPr>
        <sz val="11"/>
        <color theme="1"/>
        <rFont val="Times New Roman"/>
        <family val="1"/>
      </rPr>
      <t xml:space="preserve"> - Pedestrians and cyclist improvements </t>
    </r>
  </si>
  <si>
    <t xml:space="preserve">Residents of adjacent communities </t>
  </si>
  <si>
    <r>
      <rPr>
        <b/>
        <i/>
        <sz val="11"/>
        <color theme="1"/>
        <rFont val="Times New Roman"/>
        <family val="1"/>
      </rPr>
      <t>Impact</t>
    </r>
    <r>
      <rPr>
        <sz val="11"/>
        <color theme="1"/>
        <rFont val="Times New Roman"/>
        <family val="1"/>
      </rPr>
      <t xml:space="preserve"> - New bridges at proposed interchange
</t>
    </r>
    <r>
      <rPr>
        <b/>
        <i/>
        <sz val="11"/>
        <color theme="1"/>
        <rFont val="Times New Roman"/>
        <family val="1"/>
      </rPr>
      <t>Benefit</t>
    </r>
    <r>
      <rPr>
        <sz val="11"/>
        <color theme="1"/>
        <rFont val="Times New Roman"/>
        <family val="1"/>
      </rPr>
      <t xml:space="preserve"> - Reduced bridge hits and reduced maintenance costs over the life of the project. </t>
    </r>
  </si>
  <si>
    <t>Vehicle Owners, Truck Operators, and ODOT</t>
  </si>
  <si>
    <r>
      <rPr>
        <b/>
        <i/>
        <sz val="11"/>
        <color theme="1"/>
        <rFont val="Times New Roman"/>
        <family val="1"/>
      </rPr>
      <t>Impact</t>
    </r>
    <r>
      <rPr>
        <sz val="11"/>
        <color theme="1"/>
        <rFont val="Times New Roman"/>
        <family val="1"/>
      </rPr>
      <t xml:space="preserve"> - New bridges at proposed interchange
</t>
    </r>
    <r>
      <rPr>
        <b/>
        <i/>
        <sz val="11"/>
        <color theme="1"/>
        <rFont val="Times New Roman"/>
        <family val="1"/>
      </rPr>
      <t>Benefit</t>
    </r>
    <r>
      <rPr>
        <sz val="11"/>
        <color theme="1"/>
        <rFont val="Times New Roman"/>
        <family val="1"/>
      </rPr>
      <t xml:space="preserve"> - Estended residual life of bridges at proposed interchange</t>
    </r>
  </si>
  <si>
    <t>ODOT</t>
  </si>
  <si>
    <t>Current</t>
  </si>
  <si>
    <t>Summary of BCA Outcomes, Millions of Dollars in 2021</t>
  </si>
  <si>
    <t>Safety Assumptions</t>
  </si>
  <si>
    <t>Base Case</t>
  </si>
  <si>
    <t>Project Evaluation Metric</t>
  </si>
  <si>
    <t>Present Value at 3% Discount Rate</t>
  </si>
  <si>
    <t>Present Value at 7% Discount Rate</t>
  </si>
  <si>
    <t>Synchro Analysis:
Total Vehicle-Hours per Day</t>
  </si>
  <si>
    <t>Pedestrian Counts</t>
  </si>
  <si>
    <t>Source</t>
  </si>
  <si>
    <t>Parameters</t>
  </si>
  <si>
    <t>Change in Parameter Value</t>
  </si>
  <si>
    <t>New NPV</t>
  </si>
  <si>
    <t>% Change in NPV</t>
  </si>
  <si>
    <t>New B/C Ratio</t>
  </si>
  <si>
    <t>Total Benefits</t>
  </si>
  <si>
    <t>Year of Count</t>
  </si>
  <si>
    <t xml:space="preserve">ODOT Data </t>
  </si>
  <si>
    <t>Vehicle Delay</t>
  </si>
  <si>
    <t>20% Reduction</t>
  </si>
  <si>
    <t>Total O&amp;M (Cost) / Savings</t>
  </si>
  <si>
    <t>Existing</t>
  </si>
  <si>
    <t>Average Ped/day</t>
  </si>
  <si>
    <t>20% Increase</t>
  </si>
  <si>
    <t>Total Capital (Cost) / Savings</t>
  </si>
  <si>
    <t xml:space="preserve">Proposed </t>
  </si>
  <si>
    <t>Pedestrian Growth Rate</t>
  </si>
  <si>
    <t>Benefit</t>
  </si>
  <si>
    <t xml:space="preserve">Benefit / Cost Ratio </t>
  </si>
  <si>
    <t>Split of Travel Time Savings</t>
  </si>
  <si>
    <t>30 Year Analysis Period</t>
  </si>
  <si>
    <t>Ped</t>
  </si>
  <si>
    <t>Summary of Project Costs, Millions of Dollars in 2021</t>
  </si>
  <si>
    <t>Veh</t>
  </si>
  <si>
    <t>Cost Category</t>
  </si>
  <si>
    <t>Maintenance (negative is savings)</t>
  </si>
  <si>
    <t>Summary of Benefits, Millions of Dollars in 2021</t>
  </si>
  <si>
    <t>Source / Comment</t>
  </si>
  <si>
    <t>SYNCHRO FUEL CONSUMPTION DATA</t>
  </si>
  <si>
    <t xml:space="preserve">Synchro Analysis: Fuel Consumption (gal.) </t>
  </si>
  <si>
    <t>AM</t>
  </si>
  <si>
    <t>PM</t>
  </si>
  <si>
    <t xml:space="preserve">AM </t>
  </si>
  <si>
    <t>Pedstrian Ammenities</t>
  </si>
  <si>
    <t>SYNCHRO EMISSIONS DATA</t>
  </si>
  <si>
    <t>Emissions (kg)</t>
  </si>
  <si>
    <t>Exisiting</t>
  </si>
  <si>
    <r>
      <t>CO</t>
    </r>
    <r>
      <rPr>
        <vertAlign val="subscript"/>
        <sz val="11"/>
        <color theme="1"/>
        <rFont val="Times New Roman"/>
        <family val="1"/>
      </rPr>
      <t>2</t>
    </r>
  </si>
  <si>
    <r>
      <t>NO</t>
    </r>
    <r>
      <rPr>
        <vertAlign val="subscript"/>
        <sz val="11"/>
        <color theme="1"/>
        <rFont val="Times New Roman"/>
        <family val="1"/>
      </rPr>
      <t>X</t>
    </r>
  </si>
  <si>
    <t>VOC</t>
  </si>
  <si>
    <t>Travel Time Savings - Pedestrian</t>
  </si>
  <si>
    <t>Value of time for pedestrian travel</t>
  </si>
  <si>
    <t>Travel Time Savings - Vehicles</t>
  </si>
  <si>
    <t>USDOT BCA Guidelines - Appendix Tables</t>
  </si>
  <si>
    <t>Source:</t>
  </si>
  <si>
    <t>USDOT Benefit-Cost Analysis Guidance for Discretionary Grant Programs, Jan 2023</t>
  </si>
  <si>
    <t>Link:</t>
  </si>
  <si>
    <t>https://www.transportation.gov/mission/office-secretary/office-policy/transportation-policy/benefit-cost-analysis-guidance</t>
  </si>
  <si>
    <r>
      <rPr>
        <b/>
        <sz val="11.5"/>
        <color rgb="FFFFFFFF"/>
        <rFont val="Times New Roman"/>
        <family val="1"/>
      </rPr>
      <t>Recommended Monetized Value(s)</t>
    </r>
  </si>
  <si>
    <r>
      <rPr>
        <b/>
        <sz val="11.5"/>
        <color rgb="FFFFFFFF"/>
        <rFont val="Times New Roman"/>
        <family val="1"/>
      </rPr>
      <t>References and Notes</t>
    </r>
  </si>
  <si>
    <r>
      <rPr>
        <i/>
        <sz val="11"/>
        <rFont val="Times New Roman"/>
        <family val="1"/>
      </rPr>
      <t xml:space="preserve">Treatment of the Economic Value of Preventing Fatalities and Injuries in Preparing Economic Analyses (2022) </t>
    </r>
    <r>
      <rPr>
        <u/>
        <sz val="11"/>
        <color rgb="FF0000FF"/>
        <rFont val="Times New Roman"/>
        <family val="1"/>
      </rPr>
      <t>https://www.transportation.gov/office-</t>
    </r>
    <r>
      <rPr>
        <sz val="11"/>
        <color rgb="FF0000FF"/>
        <rFont val="Times New Roman"/>
        <family val="1"/>
      </rPr>
      <t xml:space="preserve"> </t>
    </r>
    <r>
      <rPr>
        <u/>
        <sz val="11"/>
        <color rgb="FF0000FF"/>
        <rFont val="Times New Roman"/>
        <family val="1"/>
      </rPr>
      <t>policy/transportation-policy/revised-</t>
    </r>
    <r>
      <rPr>
        <sz val="11"/>
        <color rgb="FF0000FF"/>
        <rFont val="Times New Roman"/>
        <family val="1"/>
      </rPr>
      <t xml:space="preserve"> </t>
    </r>
    <r>
      <rPr>
        <u/>
        <sz val="11"/>
        <color rgb="FF0000FF"/>
        <rFont val="Times New Roman"/>
        <family val="1"/>
      </rPr>
      <t>departmental-guidance-on-valuation-of-a-</t>
    </r>
    <r>
      <rPr>
        <sz val="11"/>
        <color rgb="FF0000FF"/>
        <rFont val="Times New Roman"/>
        <family val="1"/>
      </rPr>
      <t xml:space="preserve"> </t>
    </r>
    <r>
      <rPr>
        <u/>
        <sz val="11"/>
        <color rgb="FF0000FF"/>
        <rFont val="Times New Roman"/>
        <family val="1"/>
      </rPr>
      <t xml:space="preserve">statistical-life-in-economic-analysis
</t>
    </r>
    <r>
      <rPr>
        <b/>
        <sz val="11"/>
        <rFont val="Times New Roman"/>
        <family val="1"/>
      </rPr>
      <t xml:space="preserve">Note: </t>
    </r>
    <r>
      <rPr>
        <sz val="11"/>
        <rFont val="Times New Roman"/>
        <family val="1"/>
      </rPr>
      <t>The KABCO level values shown result from multiplying the KABCO-level accident’s associated MAIS-level probabilities by the recommended unit Value of Injuries for each MAIS level, and then summing the products. Accident data may not be presented on an annual basis when it is provided to applicants (i.e. an available report requested in Fall 2011 may record total accidents from 2005-2010). For the purposes of the BCA, is important to annualize data when possible. For MAIS-based unit values, please see the VSL guidance linked above.</t>
    </r>
  </si>
  <si>
    <r>
      <rPr>
        <b/>
        <sz val="11"/>
        <color rgb="FF1F487C"/>
        <rFont val="Times New Roman"/>
        <family val="1"/>
      </rPr>
      <t>KABCO Level</t>
    </r>
  </si>
  <si>
    <r>
      <rPr>
        <b/>
        <sz val="11"/>
        <color rgb="FF1F487C"/>
        <rFont val="Times New Roman"/>
        <family val="1"/>
      </rPr>
      <t>Monetized Value (2021 $)</t>
    </r>
  </si>
  <si>
    <r>
      <rPr>
        <sz val="11"/>
        <color rgb="FF1F487C"/>
        <rFont val="Times New Roman"/>
        <family val="1"/>
      </rPr>
      <t>O – No Injury</t>
    </r>
  </si>
  <si>
    <r>
      <rPr>
        <sz val="11"/>
        <color rgb="FF1F487C"/>
        <rFont val="Times New Roman"/>
        <family val="1"/>
      </rPr>
      <t>C – Possible Injury</t>
    </r>
  </si>
  <si>
    <r>
      <rPr>
        <sz val="11"/>
        <color rgb="FF1F487C"/>
        <rFont val="Times New Roman"/>
        <family val="1"/>
      </rPr>
      <t>B – Non-incapacitating</t>
    </r>
  </si>
  <si>
    <r>
      <rPr>
        <sz val="11"/>
        <color rgb="FF1F487C"/>
        <rFont val="Times New Roman"/>
        <family val="1"/>
      </rPr>
      <t>A – Incapacitating</t>
    </r>
  </si>
  <si>
    <r>
      <rPr>
        <sz val="11"/>
        <color rgb="FF1F487C"/>
        <rFont val="Times New Roman"/>
        <family val="1"/>
      </rPr>
      <t>K – Killed</t>
    </r>
  </si>
  <si>
    <r>
      <rPr>
        <sz val="11"/>
        <color rgb="FF1F487C"/>
        <rFont val="Times New Roman"/>
        <family val="1"/>
      </rPr>
      <t>U – Injured (Severity Unknown)</t>
    </r>
  </si>
  <si>
    <r>
      <rPr>
        <sz val="11"/>
        <color rgb="FF1F487C"/>
        <rFont val="Times New Roman"/>
        <family val="1"/>
      </rPr>
      <t xml:space="preserve"># Accidents Reported (Unknown
</t>
    </r>
    <r>
      <rPr>
        <sz val="11"/>
        <color rgb="FF1F487C"/>
        <rFont val="Times New Roman"/>
        <family val="1"/>
      </rPr>
      <t>if Injured)</t>
    </r>
  </si>
  <si>
    <r>
      <rPr>
        <b/>
        <sz val="11"/>
        <color rgb="FF1F487C"/>
        <rFont val="Times New Roman"/>
        <family val="1"/>
      </rPr>
      <t>Crash Type</t>
    </r>
  </si>
  <si>
    <r>
      <rPr>
        <sz val="11"/>
        <color rgb="FF1F487C"/>
        <rFont val="Times New Roman"/>
        <family val="1"/>
      </rPr>
      <t>Injury Crash</t>
    </r>
    <r>
      <rPr>
        <vertAlign val="superscript"/>
        <sz val="11"/>
        <color rgb="FF1F487C"/>
        <rFont val="Times New Roman"/>
        <family val="1"/>
      </rPr>
      <t>1</t>
    </r>
  </si>
  <si>
    <r>
      <rPr>
        <sz val="11"/>
        <color rgb="FF1F487C"/>
        <rFont val="Times New Roman"/>
        <family val="1"/>
      </rPr>
      <t>Fatal Crash</t>
    </r>
    <r>
      <rPr>
        <vertAlign val="superscript"/>
        <sz val="11"/>
        <color rgb="FF1F487C"/>
        <rFont val="Times New Roman"/>
        <family val="1"/>
      </rPr>
      <t>1</t>
    </r>
  </si>
  <si>
    <r>
      <rPr>
        <sz val="11"/>
        <color rgb="FF1F487C"/>
        <rFont val="Times New Roman"/>
        <family val="1"/>
      </rPr>
      <t xml:space="preserve">1)   Monetization values for injury crashes and fatal crashes are based on an estimate of approximately 1.44 injuries per injury crash and 1.09 fatalities per fatal crash, based on an average of the most recent five years of data in NHTSA’s National Crash Statistics. The fatal crash value is further adjusted for the average number of
</t>
    </r>
    <r>
      <rPr>
        <sz val="11"/>
        <color rgb="FF1F487C"/>
        <rFont val="Times New Roman"/>
        <family val="1"/>
      </rPr>
      <t>injuries per fatal crash.</t>
    </r>
  </si>
  <si>
    <r>
      <rPr>
        <b/>
        <i/>
        <sz val="11"/>
        <color rgb="FF4F81BC"/>
        <rFont val="Cambria"/>
        <family val="1"/>
      </rPr>
      <t>Table A-2: Property Damage Only (PDO) Crashes</t>
    </r>
  </si>
  <si>
    <r>
      <rPr>
        <b/>
        <sz val="11.5"/>
        <color rgb="FFFFFFFF"/>
        <rFont val="Times New Roman"/>
        <family val="1"/>
      </rPr>
      <t>Reference and Notes</t>
    </r>
  </si>
  <si>
    <r>
      <rPr>
        <sz val="11"/>
        <rFont val="Times New Roman"/>
        <family val="1"/>
      </rPr>
      <t>$4,800 per vehicle ($2021)</t>
    </r>
  </si>
  <si>
    <r>
      <rPr>
        <i/>
        <sz val="11"/>
        <rFont val="Times New Roman"/>
        <family val="1"/>
      </rPr>
      <t xml:space="preserve">The Economic and Societal Impact of Motor Vehicle Crashes, 2010 (revised May 2015), Page 12, Table 1-2, Summary of Unit Costs, 2000”
</t>
    </r>
    <r>
      <rPr>
        <sz val="11"/>
        <rFont val="Times New Roman"/>
        <family val="1"/>
      </rPr>
      <t>Inflated to 2021 dollars using the GDP deflator.</t>
    </r>
  </si>
  <si>
    <r>
      <rPr>
        <b/>
        <sz val="11"/>
        <color rgb="FF1F487C"/>
        <rFont val="Times New Roman"/>
        <family val="1"/>
      </rPr>
      <t>Recommended Hourly Values of Travel Time Savings (2021 $ per person-hour)</t>
    </r>
  </si>
  <si>
    <r>
      <rPr>
        <i/>
        <sz val="11"/>
        <rFont val="Times New Roman"/>
        <family val="1"/>
      </rPr>
      <t xml:space="preserve">Revised Departmental Guidance on Valuation of Travel Time in Economic Analysis (2016) </t>
    </r>
    <r>
      <rPr>
        <u/>
        <sz val="11"/>
        <color rgb="FF0000FF"/>
        <rFont val="Times New Roman"/>
        <family val="1"/>
      </rPr>
      <t>https://www.transportation.gov/office-</t>
    </r>
    <r>
      <rPr>
        <sz val="11"/>
        <color rgb="FF0000FF"/>
        <rFont val="Times New Roman"/>
        <family val="1"/>
      </rPr>
      <t xml:space="preserve"> </t>
    </r>
    <r>
      <rPr>
        <u/>
        <sz val="11"/>
        <color rgb="FF0000FF"/>
        <rFont val="Times New Roman"/>
        <family val="1"/>
      </rPr>
      <t>policy/transportation-policy/revised-</t>
    </r>
    <r>
      <rPr>
        <sz val="11"/>
        <color rgb="FF0000FF"/>
        <rFont val="Times New Roman"/>
        <family val="1"/>
      </rPr>
      <t xml:space="preserve"> </t>
    </r>
    <r>
      <rPr>
        <u/>
        <sz val="11"/>
        <color rgb="FF0000FF"/>
        <rFont val="Times New Roman"/>
        <family val="1"/>
      </rPr>
      <t>departmental-guidance-valuation-travel-</t>
    </r>
    <r>
      <rPr>
        <sz val="11"/>
        <color rgb="FF0000FF"/>
        <rFont val="Times New Roman"/>
        <family val="1"/>
      </rPr>
      <t xml:space="preserve"> </t>
    </r>
    <r>
      <rPr>
        <u/>
        <sz val="11"/>
        <color rgb="FF0000FF"/>
        <rFont val="Times New Roman"/>
        <family val="1"/>
      </rPr>
      <t>time-economic</t>
    </r>
  </si>
  <si>
    <r>
      <rPr>
        <b/>
        <sz val="11"/>
        <color rgb="FF1F487C"/>
        <rFont val="Times New Roman"/>
        <family val="1"/>
      </rPr>
      <t>Category</t>
    </r>
  </si>
  <si>
    <r>
      <rPr>
        <b/>
        <sz val="11"/>
        <color rgb="FF1F487C"/>
        <rFont val="Times New Roman"/>
        <family val="1"/>
      </rPr>
      <t>Hourly Value</t>
    </r>
  </si>
  <si>
    <r>
      <rPr>
        <sz val="11"/>
        <color rgb="FF1F487C"/>
        <rFont val="Times New Roman"/>
        <family val="1"/>
      </rPr>
      <t>General Travel Time</t>
    </r>
  </si>
  <si>
    <r>
      <rPr>
        <sz val="11"/>
        <color rgb="FF1F487C"/>
        <rFont val="Times New Roman"/>
        <family val="1"/>
      </rPr>
      <t>Personal</t>
    </r>
    <r>
      <rPr>
        <vertAlign val="superscript"/>
        <sz val="11"/>
        <color rgb="FF1F487C"/>
        <rFont val="Times New Roman"/>
        <family val="1"/>
      </rPr>
      <t>1</t>
    </r>
  </si>
  <si>
    <r>
      <rPr>
        <sz val="11"/>
        <color rgb="FF1F487C"/>
        <rFont val="Times New Roman"/>
        <family val="1"/>
      </rPr>
      <t>Business</t>
    </r>
    <r>
      <rPr>
        <vertAlign val="superscript"/>
        <sz val="11"/>
        <color rgb="FF1F487C"/>
        <rFont val="Times New Roman"/>
        <family val="1"/>
      </rPr>
      <t>2</t>
    </r>
  </si>
  <si>
    <r>
      <rPr>
        <sz val="11"/>
        <color rgb="FF1F487C"/>
        <rFont val="Times New Roman"/>
        <family val="1"/>
      </rPr>
      <t>All Purposes</t>
    </r>
    <r>
      <rPr>
        <vertAlign val="superscript"/>
        <sz val="11"/>
        <color rgb="FF1F487C"/>
        <rFont val="Times New Roman"/>
        <family val="1"/>
      </rPr>
      <t xml:space="preserve">3
</t>
    </r>
    <r>
      <rPr>
        <sz val="11"/>
        <color rgb="FF1F487C"/>
        <rFont val="Times New Roman"/>
        <family val="1"/>
      </rPr>
      <t>Walking, Cycling, Waiting, Standing, and Transfer Time</t>
    </r>
    <r>
      <rPr>
        <vertAlign val="superscript"/>
        <sz val="11"/>
        <color rgb="FF1F487C"/>
        <rFont val="Times New Roman"/>
        <family val="1"/>
      </rPr>
      <t>4</t>
    </r>
  </si>
  <si>
    <r>
      <rPr>
        <sz val="11"/>
        <color rgb="FF1F487C"/>
        <rFont val="Times New Roman"/>
        <family val="1"/>
      </rPr>
      <t xml:space="preserve">$18.80
</t>
    </r>
    <r>
      <rPr>
        <sz val="11"/>
        <color rgb="FF1F487C"/>
        <rFont val="Times New Roman"/>
        <family val="1"/>
      </rPr>
      <t>$34.00</t>
    </r>
  </si>
  <si>
    <r>
      <rPr>
        <sz val="11"/>
        <color rgb="FF1F487C"/>
        <rFont val="Times New Roman"/>
        <family val="1"/>
      </rPr>
      <t>Commercial Vehicle Operators</t>
    </r>
    <r>
      <rPr>
        <vertAlign val="superscript"/>
        <sz val="11"/>
        <color rgb="FF1F487C"/>
        <rFont val="Times New Roman"/>
        <family val="1"/>
      </rPr>
      <t>5</t>
    </r>
  </si>
  <si>
    <r>
      <rPr>
        <sz val="11"/>
        <color rgb="FF1F487C"/>
        <rFont val="Times New Roman"/>
        <family val="1"/>
      </rPr>
      <t>Truck Drivers</t>
    </r>
  </si>
  <si>
    <r>
      <rPr>
        <sz val="11"/>
        <color rgb="FF1F487C"/>
        <rFont val="Times New Roman"/>
        <family val="1"/>
      </rPr>
      <t>Bus Drivers</t>
    </r>
  </si>
  <si>
    <r>
      <rPr>
        <sz val="11"/>
        <color rgb="FF1F487C"/>
        <rFont val="Times New Roman"/>
        <family val="1"/>
      </rPr>
      <t>Transit Rail Operators</t>
    </r>
  </si>
  <si>
    <r>
      <rPr>
        <sz val="11"/>
        <color rgb="FF1F487C"/>
        <rFont val="Times New Roman"/>
        <family val="1"/>
      </rPr>
      <t>Locomotive Engineers</t>
    </r>
  </si>
  <si>
    <r>
      <rPr>
        <sz val="11"/>
        <color rgb="FF1F487C"/>
        <rFont val="Times New Roman"/>
        <family val="1"/>
      </rPr>
      <t xml:space="preserve">1)  Values for personal travel based on local travel values as described in USDOT’s Value of Travel Time guidance. Where applicants also have specific information on the mix of local versus long-distance intercity travel (i.e.,  trips over 50 miles in length) on a facility, then the local travel values of time may be blended with the long- distance intercity personal travel value of $23.80 per hour.
</t>
    </r>
    <r>
      <rPr>
        <sz val="11"/>
        <color rgb="FF1F487C"/>
        <rFont val="Times New Roman"/>
        <family val="1"/>
      </rPr>
      <t xml:space="preserve">2)  Weighted average based on a typical distribution of local travel by surface modes (88.2% personal, 11.8% business). Applicants should apply their own distribution of business versus personal travel where such information is available.
</t>
    </r>
    <r>
      <rPr>
        <sz val="11"/>
        <color rgb="FF1F487C"/>
        <rFont val="Times New Roman"/>
        <family val="1"/>
      </rPr>
      <t xml:space="preserve">3)  Note that business travel does not include commuting travel, which should be valued at the personal travel rate. Travel on high-speed rail service that would be competitive with air travel should be valued at $45.30 per hour for personal travel and $79.30 for business travel.
</t>
    </r>
    <r>
      <rPr>
        <sz val="11"/>
        <color rgb="FF1F487C"/>
        <rFont val="Times New Roman"/>
        <family val="1"/>
      </rPr>
      <t>4)  Should be applied only when actions affect those elements of travel time.</t>
    </r>
  </si>
  <si>
    <r>
      <rPr>
        <sz val="11"/>
        <color rgb="FF1F487C"/>
        <rFont val="Times New Roman"/>
        <family val="1"/>
      </rPr>
      <t>5)  Includes only the value of time for the operator, not passengers or freight.</t>
    </r>
  </si>
  <si>
    <r>
      <rPr>
        <b/>
        <sz val="11.5"/>
        <color rgb="FFFFFFFF"/>
        <rFont val="Times New Roman"/>
        <family val="1"/>
      </rPr>
      <t>Recommended Value(s)</t>
    </r>
  </si>
  <si>
    <r>
      <rPr>
        <i/>
        <sz val="11"/>
        <rFont val="Times New Roman"/>
        <family val="1"/>
      </rPr>
      <t>2017 National Household Travel Survey</t>
    </r>
  </si>
  <si>
    <r>
      <rPr>
        <b/>
        <sz val="11"/>
        <color rgb="FF1F487C"/>
        <rFont val="Times New Roman"/>
        <family val="1"/>
      </rPr>
      <t>Vehicle Type</t>
    </r>
  </si>
  <si>
    <r>
      <rPr>
        <b/>
        <sz val="11"/>
        <color rgb="FF1F487C"/>
        <rFont val="Times New Roman"/>
        <family val="1"/>
      </rPr>
      <t>Average Occupancy</t>
    </r>
  </si>
  <si>
    <r>
      <rPr>
        <sz val="11"/>
        <color rgb="FF1F487C"/>
        <rFont val="Times New Roman"/>
        <family val="1"/>
      </rPr>
      <t xml:space="preserve">Passenger Vehicles
</t>
    </r>
    <r>
      <rPr>
        <sz val="11"/>
        <color rgb="FF1F487C"/>
        <rFont val="Times New Roman"/>
        <family val="1"/>
      </rPr>
      <t>(Weekday Peak)</t>
    </r>
    <r>
      <rPr>
        <vertAlign val="superscript"/>
        <sz val="11"/>
        <color rgb="FF1F487C"/>
        <rFont val="Times New Roman"/>
        <family val="1"/>
      </rPr>
      <t>1</t>
    </r>
  </si>
  <si>
    <r>
      <rPr>
        <sz val="11"/>
        <color rgb="FF1F487C"/>
        <rFont val="Times New Roman"/>
        <family val="1"/>
      </rPr>
      <t xml:space="preserve">Passenger Vehicles
</t>
    </r>
    <r>
      <rPr>
        <sz val="11"/>
        <color rgb="FF1F487C"/>
        <rFont val="Times New Roman"/>
        <family val="1"/>
      </rPr>
      <t>(Weekday Off-Peak)</t>
    </r>
  </si>
  <si>
    <r>
      <rPr>
        <sz val="11"/>
        <color rgb="FF1F487C"/>
        <rFont val="Times New Roman"/>
        <family val="1"/>
      </rPr>
      <t>Passenger Vehicles (Weekend)</t>
    </r>
  </si>
  <si>
    <r>
      <rPr>
        <sz val="11"/>
        <color rgb="FF1F487C"/>
        <rFont val="Times New Roman"/>
        <family val="1"/>
      </rPr>
      <t>Passenger Vehicles (All Travel)</t>
    </r>
  </si>
  <si>
    <r>
      <rPr>
        <sz val="11"/>
        <color rgb="FF1F487C"/>
        <rFont val="Times New Roman"/>
        <family val="1"/>
      </rPr>
      <t>1) Weekday peak period values calculated for trips starting between 6:00 AM-8:59 AM and 4:00 PM- 6:59 PM.</t>
    </r>
  </si>
  <si>
    <r>
      <rPr>
        <b/>
        <i/>
        <sz val="11"/>
        <color rgb="FF4F81BC"/>
        <rFont val="Cambria"/>
        <family val="1"/>
      </rPr>
      <t>Table A-5: Vehicle Operating Costs</t>
    </r>
  </si>
  <si>
    <r>
      <rPr>
        <i/>
        <sz val="11"/>
        <rFont val="Times New Roman"/>
        <family val="1"/>
      </rPr>
      <t xml:space="preserve">American Automobile Association, Your Driving Costs – 2021 Edition (2021) </t>
    </r>
    <r>
      <rPr>
        <u/>
        <sz val="11"/>
        <color rgb="FF0000FF"/>
        <rFont val="Times New Roman"/>
        <family val="1"/>
      </rPr>
      <t>https://newsroom.aaa.com/wp-</t>
    </r>
    <r>
      <rPr>
        <sz val="11"/>
        <color rgb="FF0000FF"/>
        <rFont val="Times New Roman"/>
        <family val="1"/>
      </rPr>
      <t xml:space="preserve"> </t>
    </r>
    <r>
      <rPr>
        <u/>
        <sz val="11"/>
        <color rgb="FF0000FF"/>
        <rFont val="Times New Roman"/>
        <family val="1"/>
      </rPr>
      <t>content/uploads/2021/08/2021-YDC-Brochure-</t>
    </r>
    <r>
      <rPr>
        <sz val="11"/>
        <color rgb="FF0000FF"/>
        <rFont val="Times New Roman"/>
        <family val="1"/>
      </rPr>
      <t xml:space="preserve"> </t>
    </r>
    <r>
      <rPr>
        <u/>
        <sz val="11"/>
        <color rgb="FF0000FF"/>
        <rFont val="Times New Roman"/>
        <family val="1"/>
      </rPr>
      <t xml:space="preserve">Live.pdf
</t>
    </r>
    <r>
      <rPr>
        <i/>
        <sz val="11"/>
        <rFont val="Times New Roman"/>
        <family val="1"/>
      </rPr>
      <t xml:space="preserve">American Transportation Research Institute, An Analysis of the Operational Costs of Trucking: 2022 Update
</t>
    </r>
    <r>
      <rPr>
        <u/>
        <sz val="11"/>
        <color rgb="FF0000FF"/>
        <rFont val="Times New Roman"/>
        <family val="1"/>
      </rPr>
      <t>https://truckingresearch.org/wp-</t>
    </r>
    <r>
      <rPr>
        <sz val="11"/>
        <color rgb="FF0000FF"/>
        <rFont val="Times New Roman"/>
        <family val="1"/>
      </rPr>
      <t xml:space="preserve"> </t>
    </r>
    <r>
      <rPr>
        <u/>
        <sz val="11"/>
        <color rgb="FF0000FF"/>
        <rFont val="Times New Roman"/>
        <family val="1"/>
      </rPr>
      <t>content/uploads/2022/08/ATRI-Operational-Cost-</t>
    </r>
    <r>
      <rPr>
        <sz val="11"/>
        <color rgb="FF0000FF"/>
        <rFont val="Times New Roman"/>
        <family val="1"/>
      </rPr>
      <t xml:space="preserve"> </t>
    </r>
    <r>
      <rPr>
        <u/>
        <sz val="11"/>
        <color rgb="FF0000FF"/>
        <rFont val="Times New Roman"/>
        <family val="1"/>
      </rPr>
      <t>of-Trucking-2022.pdf</t>
    </r>
  </si>
  <si>
    <r>
      <rPr>
        <b/>
        <sz val="11"/>
        <color rgb="FF1F487C"/>
        <rFont val="Times New Roman"/>
        <family val="1"/>
      </rPr>
      <t>Recommended Value per Mile (2021 $)</t>
    </r>
  </si>
  <si>
    <r>
      <rPr>
        <sz val="11"/>
        <color rgb="FF1F487C"/>
        <rFont val="Times New Roman"/>
        <family val="1"/>
      </rPr>
      <t>Light Duty Vehicles</t>
    </r>
    <r>
      <rPr>
        <vertAlign val="superscript"/>
        <sz val="11"/>
        <color rgb="FF1F487C"/>
        <rFont val="Times New Roman"/>
        <family val="1"/>
      </rPr>
      <t>1</t>
    </r>
  </si>
  <si>
    <r>
      <rPr>
        <sz val="11"/>
        <color rgb="FF1F487C"/>
        <rFont val="Times New Roman"/>
        <family val="1"/>
      </rPr>
      <t>Commercial Trucks</t>
    </r>
    <r>
      <rPr>
        <vertAlign val="superscript"/>
        <sz val="11"/>
        <color rgb="FF1F487C"/>
        <rFont val="Times New Roman"/>
        <family val="1"/>
      </rPr>
      <t>2</t>
    </r>
  </si>
  <si>
    <r>
      <rPr>
        <sz val="11"/>
        <color rgb="FF1F487C"/>
        <rFont val="Times New Roman"/>
        <family val="1"/>
      </rPr>
      <t xml:space="preserve">1)  Based on an average light duty vehicle and includes operating costs such as gasoline, maintenance, tires, and depreciation (assuming an average of 15,000 miles driven per year). The value omits other ownership costs that are mostly fixed or transfers (insurance, license, registration, taxes, and financing charges).
</t>
    </r>
    <r>
      <rPr>
        <sz val="11"/>
        <color rgb="FF1F487C"/>
        <rFont val="Times New Roman"/>
        <family val="1"/>
      </rPr>
      <t xml:space="preserve">2)  Value includes fuel costs, truck/trailer lease or purchase payments, repair and maintenance, truck insurance premiums, permits and licenses, and tires. The value omits tolls (which are transfers), and
</t>
    </r>
    <r>
      <rPr>
        <sz val="11"/>
        <color rgb="FF1F487C"/>
        <rFont val="Times New Roman"/>
        <family val="1"/>
      </rPr>
      <t>driver wages and benefits (which are already included in the value of travel time savings).</t>
    </r>
  </si>
  <si>
    <r>
      <rPr>
        <i/>
        <sz val="11"/>
        <rFont val="Times New Roman"/>
        <family val="1"/>
      </rPr>
      <t xml:space="preserve">Technical Support Document: Estimating the Benefit per Ton of Reducing PM2.5 Precursors from 17 Sectors (February 2018)”
</t>
    </r>
    <r>
      <rPr>
        <u/>
        <sz val="11"/>
        <color rgb="FF0000FF"/>
        <rFont val="Times New Roman"/>
        <family val="1"/>
      </rPr>
      <t>https://www.epa.gov/sites/default/files/20</t>
    </r>
    <r>
      <rPr>
        <sz val="11"/>
        <color rgb="FF0000FF"/>
        <rFont val="Times New Roman"/>
        <family val="1"/>
      </rPr>
      <t xml:space="preserve"> </t>
    </r>
    <r>
      <rPr>
        <u/>
        <sz val="11"/>
        <color rgb="FF0000FF"/>
        <rFont val="Times New Roman"/>
        <family val="1"/>
      </rPr>
      <t xml:space="preserve">18-
</t>
    </r>
    <r>
      <rPr>
        <u/>
        <sz val="11"/>
        <color rgb="FF0000FF"/>
        <rFont val="Times New Roman"/>
        <family val="1"/>
      </rPr>
      <t xml:space="preserve">02/documents/sourceapportionmentbpttsd
</t>
    </r>
    <r>
      <rPr>
        <u/>
        <sz val="11"/>
        <color rgb="FF0000FF"/>
        <rFont val="Times New Roman"/>
        <family val="1"/>
      </rPr>
      <t xml:space="preserve">_2018.pdf
</t>
    </r>
    <r>
      <rPr>
        <vertAlign val="superscript"/>
        <sz val="11"/>
        <rFont val="Times New Roman"/>
        <family val="1"/>
      </rPr>
      <t>NO</t>
    </r>
    <r>
      <rPr>
        <sz val="7"/>
        <rFont val="Times New Roman"/>
        <family val="1"/>
      </rPr>
      <t>X</t>
    </r>
    <r>
      <rPr>
        <vertAlign val="superscript"/>
        <sz val="11"/>
        <rFont val="Times New Roman"/>
        <family val="1"/>
      </rPr>
      <t>, SO</t>
    </r>
    <r>
      <rPr>
        <sz val="7"/>
        <rFont val="Times New Roman"/>
        <family val="1"/>
      </rPr>
      <t>X</t>
    </r>
    <r>
      <rPr>
        <vertAlign val="superscript"/>
        <sz val="11"/>
        <rFont val="Times New Roman"/>
        <family val="1"/>
      </rPr>
      <t>, and PM</t>
    </r>
    <r>
      <rPr>
        <sz val="7"/>
        <rFont val="Times New Roman"/>
        <family val="1"/>
      </rPr>
      <t xml:space="preserve">2.5 </t>
    </r>
    <r>
      <rPr>
        <vertAlign val="superscript"/>
        <sz val="11"/>
        <rFont val="Times New Roman"/>
        <family val="1"/>
      </rPr>
      <t xml:space="preserve">values are inflated </t>
    </r>
    <r>
      <rPr>
        <sz val="11"/>
        <rFont val="Times New Roman"/>
        <family val="1"/>
      </rPr>
      <t xml:space="preserve">from 2015 to 2021 dollars using the GDP deflator.
</t>
    </r>
    <r>
      <rPr>
        <i/>
        <sz val="11"/>
        <rFont val="Times New Roman"/>
        <family val="1"/>
      </rPr>
      <t xml:space="preserve">Social Cost of Carbon, Methane, and Nitrous Oxide Interim Estimates under Executive Order 13990 (February 2021) </t>
    </r>
    <r>
      <rPr>
        <u/>
        <sz val="11"/>
        <color rgb="FF0000FF"/>
        <rFont val="Times New Roman"/>
        <family val="1"/>
      </rPr>
      <t>https://www.whitehouse.gov/wp-</t>
    </r>
    <r>
      <rPr>
        <sz val="11"/>
        <color rgb="FF0000FF"/>
        <rFont val="Times New Roman"/>
        <family val="1"/>
      </rPr>
      <t xml:space="preserve"> </t>
    </r>
    <r>
      <rPr>
        <u/>
        <sz val="11"/>
        <color rgb="FF0000FF"/>
        <rFont val="Times New Roman"/>
        <family val="1"/>
      </rPr>
      <t>content/uploads/2021/02/TechnicalSuppor</t>
    </r>
    <r>
      <rPr>
        <sz val="11"/>
        <color rgb="FF0000FF"/>
        <rFont val="Times New Roman"/>
        <family val="1"/>
      </rPr>
      <t xml:space="preserve"> </t>
    </r>
    <r>
      <rPr>
        <u/>
        <sz val="11"/>
        <color rgb="FF0000FF"/>
        <rFont val="Times New Roman"/>
        <family val="1"/>
      </rPr>
      <t>tDocument_SocialCostofCarbonMethane</t>
    </r>
    <r>
      <rPr>
        <sz val="11"/>
        <color rgb="FF0000FF"/>
        <rFont val="Times New Roman"/>
        <family val="1"/>
      </rPr>
      <t xml:space="preserve"> </t>
    </r>
    <r>
      <rPr>
        <u/>
        <sz val="11"/>
        <color rgb="FF0000FF"/>
        <rFont val="Times New Roman"/>
        <family val="1"/>
      </rPr>
      <t xml:space="preserve">NitrousOxide.pdf
</t>
    </r>
    <r>
      <rPr>
        <b/>
        <sz val="11"/>
        <rFont val="Times New Roman"/>
        <family val="1"/>
      </rPr>
      <t xml:space="preserve">Note: </t>
    </r>
    <r>
      <rPr>
        <sz val="11"/>
        <rFont val="Times New Roman"/>
        <family val="1"/>
      </rPr>
      <t xml:space="preserve">Fuel saved (gasoline, diesel, natural gas, etc.) can be converted into metric tons of emissions using EPA guidelines available at </t>
    </r>
    <r>
      <rPr>
        <u/>
        <sz val="11"/>
        <color rgb="FF0000FF"/>
        <rFont val="Times New Roman"/>
        <family val="1"/>
      </rPr>
      <t>https://www.epa.gov/energy/greenhouse-</t>
    </r>
    <r>
      <rPr>
        <sz val="11"/>
        <color rgb="FF0000FF"/>
        <rFont val="Times New Roman"/>
        <family val="1"/>
      </rPr>
      <t xml:space="preserve"> </t>
    </r>
    <r>
      <rPr>
        <u/>
        <sz val="11"/>
        <color rgb="FF0000FF"/>
        <rFont val="Times New Roman"/>
        <family val="1"/>
      </rPr>
      <t>gases-equivalencies-calculator-</t>
    </r>
    <r>
      <rPr>
        <sz val="11"/>
        <color rgb="FF0000FF"/>
        <rFont val="Times New Roman"/>
        <family val="1"/>
      </rPr>
      <t xml:space="preserve"> </t>
    </r>
    <r>
      <rPr>
        <u/>
        <sz val="11"/>
        <color rgb="FF0000FF"/>
        <rFont val="Times New Roman"/>
        <family val="1"/>
      </rPr>
      <t xml:space="preserve">calculations-and-references
</t>
    </r>
    <r>
      <rPr>
        <b/>
        <sz val="11"/>
        <rFont val="Times New Roman"/>
        <family val="1"/>
      </rPr>
      <t xml:space="preserve">Note: </t>
    </r>
    <r>
      <rPr>
        <sz val="11"/>
        <rFont val="Times New Roman"/>
        <family val="1"/>
      </rPr>
      <t xml:space="preserve">The recommended values for </t>
    </r>
    <r>
      <rPr>
        <vertAlign val="superscript"/>
        <sz val="11"/>
        <rFont val="Times New Roman"/>
        <family val="1"/>
      </rPr>
      <t>reducing CO</t>
    </r>
    <r>
      <rPr>
        <sz val="7"/>
        <rFont val="Times New Roman"/>
        <family val="1"/>
      </rPr>
      <t xml:space="preserve">2  </t>
    </r>
    <r>
      <rPr>
        <vertAlign val="superscript"/>
        <sz val="11"/>
        <rFont val="Times New Roman"/>
        <family val="1"/>
      </rPr>
      <t xml:space="preserve">emissions reported in Table </t>
    </r>
    <r>
      <rPr>
        <sz val="11"/>
        <rFont val="Times New Roman"/>
        <family val="1"/>
      </rPr>
      <t xml:space="preserve">A-6 represent the values of future economic damages that can be avoided by reducing emissions in each future year by one metric ton.  After using per-ton values to estimate the total value of reducing CO2 emissions in any </t>
    </r>
    <r>
      <rPr>
        <i/>
        <sz val="11"/>
        <rFont val="Times New Roman"/>
        <family val="1"/>
      </rPr>
      <t>future year</t>
    </r>
    <r>
      <rPr>
        <sz val="11"/>
        <rFont val="Times New Roman"/>
        <family val="1"/>
      </rPr>
      <t xml:space="preserve">, the result must be further discounted to its present value as of the analysis year used in the BCA, also using a </t>
    </r>
    <r>
      <rPr>
        <b/>
        <sz val="11"/>
        <rFont val="Times New Roman"/>
        <family val="1"/>
      </rPr>
      <t xml:space="preserve">3 percent </t>
    </r>
    <r>
      <rPr>
        <sz val="11"/>
        <rFont val="Times New Roman"/>
        <family val="1"/>
      </rPr>
      <t>discount rate.</t>
    </r>
  </si>
  <si>
    <r>
      <rPr>
        <b/>
        <sz val="11"/>
        <color rgb="FF1F487C"/>
        <rFont val="Times New Roman"/>
        <family val="1"/>
      </rPr>
      <t xml:space="preserve">Emission
</t>
    </r>
    <r>
      <rPr>
        <b/>
        <sz val="11"/>
        <color rgb="FF1F487C"/>
        <rFont val="Times New Roman"/>
        <family val="1"/>
      </rPr>
      <t>Type</t>
    </r>
  </si>
  <si>
    <r>
      <rPr>
        <b/>
        <vertAlign val="superscript"/>
        <sz val="11"/>
        <color rgb="FF1F487C"/>
        <rFont val="Times New Roman"/>
        <family val="1"/>
      </rPr>
      <t>NO</t>
    </r>
    <r>
      <rPr>
        <b/>
        <sz val="7"/>
        <color rgb="FF1F487C"/>
        <rFont val="Times New Roman"/>
        <family val="1"/>
      </rPr>
      <t>X</t>
    </r>
  </si>
  <si>
    <r>
      <rPr>
        <b/>
        <vertAlign val="superscript"/>
        <sz val="11"/>
        <color rgb="FF1F487C"/>
        <rFont val="Times New Roman"/>
        <family val="1"/>
      </rPr>
      <t>SO</t>
    </r>
    <r>
      <rPr>
        <b/>
        <sz val="7"/>
        <color rgb="FF1F487C"/>
        <rFont val="Times New Roman"/>
        <family val="1"/>
      </rPr>
      <t>X</t>
    </r>
  </si>
  <si>
    <r>
      <rPr>
        <b/>
        <vertAlign val="superscript"/>
        <sz val="11"/>
        <color rgb="FF1F487C"/>
        <rFont val="Times New Roman"/>
        <family val="1"/>
      </rPr>
      <t>PM</t>
    </r>
    <r>
      <rPr>
        <b/>
        <sz val="7"/>
        <color rgb="FF1F487C"/>
        <rFont val="Times New Roman"/>
        <family val="1"/>
      </rPr>
      <t>2.5</t>
    </r>
    <r>
      <rPr>
        <b/>
        <vertAlign val="superscript"/>
        <sz val="11"/>
        <color rgb="FF1F487C"/>
        <rFont val="Times New Roman"/>
        <family val="1"/>
      </rPr>
      <t>**</t>
    </r>
  </si>
  <si>
    <r>
      <rPr>
        <b/>
        <vertAlign val="superscript"/>
        <sz val="11"/>
        <color rgb="FF1F487C"/>
        <rFont val="Times New Roman"/>
        <family val="1"/>
      </rPr>
      <t>CO</t>
    </r>
    <r>
      <rPr>
        <b/>
        <sz val="7"/>
        <color rgb="FF1F487C"/>
        <rFont val="Times New Roman"/>
        <family val="1"/>
      </rPr>
      <t>2</t>
    </r>
  </si>
  <si>
    <t>PM2.5**</t>
  </si>
  <si>
    <r>
      <rPr>
        <sz val="11"/>
        <color rgb="FF1F487C"/>
        <rFont val="Times New Roman"/>
        <family val="1"/>
      </rPr>
      <t xml:space="preserve">*Applicants should carefully note whether their emissions data is reported in short tons or metric tons. A metric ton is equal to 1.1015 short tons.
</t>
    </r>
    <r>
      <rPr>
        <vertAlign val="superscript"/>
        <sz val="11"/>
        <color rgb="FF1F487C"/>
        <rFont val="Times New Roman"/>
        <family val="1"/>
      </rPr>
      <t>**Applicants should be careful to not apply the PM</t>
    </r>
    <r>
      <rPr>
        <sz val="7"/>
        <color rgb="FF1F487C"/>
        <rFont val="Times New Roman"/>
        <family val="1"/>
      </rPr>
      <t xml:space="preserve">2.5  </t>
    </r>
    <r>
      <rPr>
        <vertAlign val="superscript"/>
        <sz val="11"/>
        <color rgb="FF1F487C"/>
        <rFont val="Times New Roman"/>
        <family val="1"/>
      </rPr>
      <t>value to estimates of total emissions of PM</t>
    </r>
    <r>
      <rPr>
        <sz val="7"/>
        <color rgb="FF1F487C"/>
        <rFont val="Times New Roman"/>
        <family val="1"/>
      </rPr>
      <t>10</t>
    </r>
    <r>
      <rPr>
        <vertAlign val="superscript"/>
        <sz val="11"/>
        <color rgb="FF1F487C"/>
        <rFont val="Times New Roman"/>
        <family val="1"/>
      </rPr>
      <t>.</t>
    </r>
  </si>
  <si>
    <r>
      <rPr>
        <i/>
        <sz val="11"/>
        <rFont val="Times New Roman"/>
        <family val="1"/>
      </rPr>
      <t xml:space="preserve">Bureau of Economic Analysis, National Income and Product Accounts, Table 1.1.9, “Implicit
</t>
    </r>
    <r>
      <rPr>
        <i/>
        <sz val="11"/>
        <rFont val="Times New Roman"/>
        <family val="1"/>
      </rPr>
      <t xml:space="preserve">Price Deflators for Gross Domestic Product” (October 2022) </t>
    </r>
    <r>
      <rPr>
        <u/>
        <sz val="11"/>
        <color rgb="FF0000FF"/>
        <rFont val="Times New Roman"/>
        <family val="1"/>
      </rPr>
      <t>https://apps.bea.gov/iTable/iTable.cfm?reqid=19</t>
    </r>
    <r>
      <rPr>
        <sz val="11"/>
        <color rgb="FF0000FF"/>
        <rFont val="Times New Roman"/>
        <family val="1"/>
      </rPr>
      <t xml:space="preserve"> </t>
    </r>
    <r>
      <rPr>
        <u/>
        <sz val="11"/>
        <color rgb="FF0000FF"/>
        <rFont val="Times New Roman"/>
        <family val="1"/>
      </rPr>
      <t xml:space="preserve">&amp;step=3&amp;isuri=1&amp;1921=survey&amp;1903=11#reqid
</t>
    </r>
    <r>
      <rPr>
        <u/>
        <sz val="11"/>
        <color rgb="FF0000FF"/>
        <rFont val="Times New Roman"/>
        <family val="1"/>
      </rPr>
      <t>=19&amp;step=3&amp;isuri=1&amp;1921=survey&amp;1903=11</t>
    </r>
  </si>
  <si>
    <r>
      <rPr>
        <b/>
        <sz val="11"/>
        <color rgb="FF1F487C"/>
        <rFont val="Times New Roman"/>
        <family val="1"/>
      </rPr>
      <t>Base Year of Nominal Dollar</t>
    </r>
  </si>
  <si>
    <r>
      <rPr>
        <b/>
        <sz val="11"/>
        <color rgb="FF1F487C"/>
        <rFont val="Times New Roman"/>
        <family val="1"/>
      </rPr>
      <t>Multiplier to Adjust to Real 2021 $</t>
    </r>
  </si>
  <si>
    <r>
      <rPr>
        <sz val="11"/>
        <rFont val="Times New Roman"/>
        <family val="1"/>
      </rPr>
      <t xml:space="preserve">Sidewalk expansion, traffic speed and volume reduction, and upslope reduction valuations based on:
</t>
    </r>
    <r>
      <rPr>
        <i/>
        <sz val="11"/>
        <rFont val="Times New Roman"/>
        <family val="1"/>
      </rPr>
      <t xml:space="preserve">Does the Pedestrian Environment Affect the Utility of Walking? A Case of Path Choice in Downtown Boston (2009) </t>
    </r>
    <r>
      <rPr>
        <u/>
        <sz val="11"/>
        <color rgb="FF0000FF"/>
        <rFont val="Times New Roman"/>
        <family val="1"/>
      </rPr>
      <t xml:space="preserve">https://www.sciencedirect.com/science/article
</t>
    </r>
    <r>
      <rPr>
        <u/>
        <sz val="11"/>
        <color rgb="FF0000FF"/>
        <rFont val="Times New Roman"/>
        <family val="1"/>
      </rPr>
      <t xml:space="preserve">/abs/pii/S136192090900039X
</t>
    </r>
    <r>
      <rPr>
        <i/>
        <sz val="11"/>
        <rFont val="Times New Roman"/>
        <family val="1"/>
      </rPr>
      <t xml:space="preserve">A Big Data Approach to Understanding Pedestrian Route Choice Preferences: Evidence from San Francisco (2021) </t>
    </r>
    <r>
      <rPr>
        <u/>
        <sz val="11"/>
        <color rgb="FF0000FF"/>
        <rFont val="Times New Roman"/>
        <family val="1"/>
      </rPr>
      <t xml:space="preserve">https://www.sciencedirect.com/science/article
</t>
    </r>
    <r>
      <rPr>
        <u/>
        <sz val="11"/>
        <color rgb="FF0000FF"/>
        <rFont val="Times New Roman"/>
        <family val="1"/>
      </rPr>
      <t xml:space="preserve">/abs/pii/S2214367X21000569
</t>
    </r>
    <r>
      <rPr>
        <sz val="11"/>
        <rFont val="Times New Roman"/>
        <family val="1"/>
      </rPr>
      <t xml:space="preserve">Pedestrian crossing improvement valuations based on:
</t>
    </r>
    <r>
      <rPr>
        <i/>
        <sz val="11"/>
        <rFont val="Times New Roman"/>
        <family val="1"/>
      </rPr>
      <t xml:space="preserve">Pedestrian Route Choice Model Estimated from Revealed Preference GPS Data (2014) </t>
    </r>
    <r>
      <rPr>
        <u/>
        <sz val="11"/>
        <color rgb="FF0000FF"/>
        <rFont val="Times New Roman"/>
        <family val="1"/>
      </rPr>
      <t>https://trid.trb.org/view/1338221</t>
    </r>
  </si>
  <si>
    <r>
      <rPr>
        <b/>
        <sz val="11"/>
        <color rgb="FF1F487C"/>
        <rFont val="Times New Roman"/>
        <family val="1"/>
      </rPr>
      <t>Improvement Type</t>
    </r>
  </si>
  <si>
    <r>
      <rPr>
        <b/>
        <sz val="11"/>
        <color rgb="FF1F487C"/>
        <rFont val="Times New Roman"/>
        <family val="1"/>
      </rPr>
      <t>Recommended Value per Person-Mile Walked (2021 $)</t>
    </r>
    <r>
      <rPr>
        <b/>
        <vertAlign val="superscript"/>
        <sz val="11"/>
        <color rgb="FF1F487C"/>
        <rFont val="Times New Roman"/>
        <family val="1"/>
      </rPr>
      <t>1</t>
    </r>
  </si>
  <si>
    <r>
      <rPr>
        <sz val="11"/>
        <color rgb="FF1F487C"/>
        <rFont val="Times New Roman"/>
        <family val="1"/>
      </rPr>
      <t>Expand Sidewalk (per foot of added Width)</t>
    </r>
    <r>
      <rPr>
        <vertAlign val="superscript"/>
        <sz val="11"/>
        <color rgb="FF1F487C"/>
        <rFont val="Times New Roman"/>
        <family val="1"/>
      </rPr>
      <t>2</t>
    </r>
  </si>
  <si>
    <r>
      <rPr>
        <sz val="11"/>
        <color rgb="FF1F487C"/>
        <rFont val="Times New Roman"/>
        <family val="1"/>
      </rPr>
      <t>Reducing Upslope by 1%</t>
    </r>
  </si>
  <si>
    <r>
      <rPr>
        <sz val="11"/>
        <color rgb="FF1F487C"/>
        <rFont val="Times New Roman"/>
        <family val="1"/>
      </rPr>
      <t>Reducing Traffic Speed by 1 mph (for speeds ≤45 mph)</t>
    </r>
  </si>
  <si>
    <r>
      <rPr>
        <sz val="11"/>
        <color rgb="FF1F487C"/>
        <rFont val="Times New Roman"/>
        <family val="1"/>
      </rPr>
      <t xml:space="preserve">Reducing Traffic Volume by 1 Vehicle per Hour (for ADT
</t>
    </r>
    <r>
      <rPr>
        <sz val="11"/>
        <color rgb="FF1F487C"/>
        <rFont val="Times New Roman"/>
        <family val="1"/>
      </rPr>
      <t>≤55,000)</t>
    </r>
  </si>
  <si>
    <r>
      <rPr>
        <b/>
        <sz val="11"/>
        <color rgb="FF1F487C"/>
        <rFont val="Times New Roman"/>
        <family val="1"/>
      </rPr>
      <t xml:space="preserve">Recommended Value
</t>
    </r>
    <r>
      <rPr>
        <b/>
        <sz val="11"/>
        <color rgb="FF1F487C"/>
        <rFont val="Times New Roman"/>
        <family val="1"/>
      </rPr>
      <t>per Use (2021 $)</t>
    </r>
    <r>
      <rPr>
        <b/>
        <vertAlign val="superscript"/>
        <sz val="11"/>
        <color rgb="FF1F487C"/>
        <rFont val="Times New Roman"/>
        <family val="1"/>
      </rPr>
      <t>1</t>
    </r>
  </si>
  <si>
    <r>
      <rPr>
        <sz val="11"/>
        <color rgb="FF1F487C"/>
        <rFont val="Times New Roman"/>
        <family val="1"/>
      </rPr>
      <t xml:space="preserve">Install Marked-Crosswalk on Roadway with Volumes
</t>
    </r>
    <r>
      <rPr>
        <sz val="11"/>
        <color rgb="FF1F487C"/>
        <rFont val="Times New Roman"/>
        <family val="1"/>
      </rPr>
      <t>≥10,000 Vehicles per Day</t>
    </r>
  </si>
  <si>
    <r>
      <rPr>
        <sz val="11"/>
        <color rgb="FF1F487C"/>
        <rFont val="Times New Roman"/>
        <family val="1"/>
      </rPr>
      <t xml:space="preserve">Install Signal for Pedestrian Crossing on Roadway with
</t>
    </r>
    <r>
      <rPr>
        <sz val="11"/>
        <color rgb="FF1F487C"/>
        <rFont val="Times New Roman"/>
        <family val="1"/>
      </rPr>
      <t>Volumes ≥13,000 Vehicles per Day</t>
    </r>
  </si>
  <si>
    <r>
      <rPr>
        <sz val="11"/>
        <color rgb="FF1F487C"/>
        <rFont val="Times New Roman"/>
        <family val="1"/>
      </rPr>
      <t xml:space="preserve">1)   These values assume an average walking trip speed of 3.2 miles per hour. For the mile-based benefits, the estimated value per user should be capped at 0.86 miles, the average length of a walking trip in the 2017 National Household Travel Survey, unless the applicant has specific documentation suggesting longer trips or that a trip shorter than 0.86 miles is not feasible on the facility in question. In other words, applicants should not assume all pedestrians travel the full distance of a proposed facility if the facility is longer than 0.86 miles without a clear justification for doing so.
</t>
    </r>
    <r>
      <rPr>
        <sz val="11"/>
        <color rgb="FF1F487C"/>
        <rFont val="Times New Roman"/>
        <family val="1"/>
      </rPr>
      <t xml:space="preserve">2)   Value for sidewalk width expansion applicable for sidewalks up to approximately 31 feet, benefits for expansions beyond this width should be described
</t>
    </r>
    <r>
      <rPr>
        <sz val="11"/>
        <color rgb="FF1F487C"/>
        <rFont val="Times New Roman"/>
        <family val="1"/>
      </rPr>
      <t>qualitatively.</t>
    </r>
  </si>
  <si>
    <r>
      <rPr>
        <sz val="11"/>
        <rFont val="Times New Roman"/>
        <family val="1"/>
      </rPr>
      <t xml:space="preserve">Underlying marginal rate of substitution estimates based on:
</t>
    </r>
    <r>
      <rPr>
        <i/>
        <sz val="11"/>
        <rFont val="Times New Roman"/>
        <family val="1"/>
      </rPr>
      <t xml:space="preserve">A GPS-based Bicycle Route Choice Model for San Francisco, California (2011) </t>
    </r>
    <r>
      <rPr>
        <u/>
        <sz val="11"/>
        <color rgb="FF0000FF"/>
        <rFont val="Times New Roman"/>
        <family val="1"/>
      </rPr>
      <t>https://www.sfcta.org/sites/default/files/2019-</t>
    </r>
    <r>
      <rPr>
        <sz val="11"/>
        <color rgb="FF0000FF"/>
        <rFont val="Times New Roman"/>
        <family val="1"/>
      </rPr>
      <t xml:space="preserve"> </t>
    </r>
    <r>
      <rPr>
        <u/>
        <sz val="11"/>
        <color rgb="FF0000FF"/>
        <rFont val="Times New Roman"/>
        <family val="1"/>
      </rPr>
      <t xml:space="preserve">03/BikeRouteChoiceModel.pdf
</t>
    </r>
    <r>
      <rPr>
        <sz val="11"/>
        <rFont val="Times New Roman"/>
        <family val="1"/>
      </rPr>
      <t xml:space="preserve">Average cycling speed based on summaries of GPS observations of observed cycling speeds in two datasets from the following studies:
</t>
    </r>
    <r>
      <rPr>
        <i/>
        <u/>
        <sz val="11"/>
        <color rgb="FF0000FF"/>
        <rFont val="Times New Roman"/>
        <family val="1"/>
      </rPr>
      <t>Broach, Dill, &amp; Gliebe</t>
    </r>
    <r>
      <rPr>
        <i/>
        <sz val="11"/>
        <rFont val="Times New Roman"/>
        <family val="1"/>
      </rPr>
      <t xml:space="preserve">, (2012)  </t>
    </r>
    <r>
      <rPr>
        <i/>
        <u/>
        <sz val="11"/>
        <color rgb="FF0000FF"/>
        <rFont val="Times New Roman"/>
        <family val="1"/>
      </rPr>
      <t>Dill, McNeil, Broach, &amp; Ma</t>
    </r>
    <r>
      <rPr>
        <i/>
        <sz val="11"/>
        <rFont val="Times New Roman"/>
        <family val="1"/>
      </rPr>
      <t xml:space="preserve">, (2014) </t>
    </r>
    <r>
      <rPr>
        <i/>
        <u/>
        <sz val="11"/>
        <color rgb="FF0000FF"/>
        <rFont val="Times New Roman"/>
        <family val="1"/>
      </rPr>
      <t>Broach &amp; Dill</t>
    </r>
    <r>
      <rPr>
        <i/>
        <sz val="11"/>
        <rFont val="Times New Roman"/>
        <family val="1"/>
      </rPr>
      <t xml:space="preserve">, (2016)
</t>
    </r>
    <r>
      <rPr>
        <i/>
        <u/>
        <sz val="11"/>
        <color rgb="FF0000FF"/>
        <rFont val="Times New Roman"/>
        <family val="1"/>
      </rPr>
      <t>Broach, Dill, &amp; McNeil</t>
    </r>
    <r>
      <rPr>
        <i/>
        <sz val="11"/>
        <rFont val="Times New Roman"/>
        <family val="1"/>
      </rPr>
      <t>, (2019)</t>
    </r>
  </si>
  <si>
    <r>
      <rPr>
        <b/>
        <sz val="11"/>
        <color rgb="FF1F487C"/>
        <rFont val="Times New Roman"/>
        <family val="1"/>
      </rPr>
      <t>Facility Type</t>
    </r>
  </si>
  <si>
    <r>
      <rPr>
        <b/>
        <sz val="11"/>
        <color rgb="FF1F487C"/>
        <rFont val="Times New Roman"/>
        <family val="1"/>
      </rPr>
      <t>Recommended Value per Cycling Mile (2021 $)</t>
    </r>
    <r>
      <rPr>
        <b/>
        <vertAlign val="superscript"/>
        <sz val="11"/>
        <color rgb="FF1F487C"/>
        <rFont val="Times New Roman"/>
        <family val="1"/>
      </rPr>
      <t>1</t>
    </r>
  </si>
  <si>
    <r>
      <rPr>
        <sz val="11"/>
        <color rgb="FF1F487C"/>
        <rFont val="Times New Roman"/>
        <family val="1"/>
      </rPr>
      <t>Cycling Path with At- Grade Crossings</t>
    </r>
  </si>
  <si>
    <r>
      <rPr>
        <sz val="11"/>
        <color rgb="FF1F487C"/>
        <rFont val="Times New Roman"/>
        <family val="1"/>
      </rPr>
      <t xml:space="preserve">Cycling Path with no At-
</t>
    </r>
    <r>
      <rPr>
        <sz val="11"/>
        <color rgb="FF1F487C"/>
        <rFont val="Times New Roman"/>
        <family val="1"/>
      </rPr>
      <t>Grade Crossings</t>
    </r>
    <r>
      <rPr>
        <vertAlign val="superscript"/>
        <sz val="11"/>
        <color rgb="FF1F487C"/>
        <rFont val="Times New Roman"/>
        <family val="1"/>
      </rPr>
      <t>2</t>
    </r>
  </si>
  <si>
    <r>
      <rPr>
        <sz val="11"/>
        <color rgb="FF1F487C"/>
        <rFont val="Times New Roman"/>
        <family val="1"/>
      </rPr>
      <t>Dedicated Cycling Lane</t>
    </r>
  </si>
  <si>
    <r>
      <rPr>
        <sz val="11"/>
        <color rgb="FF1F487C"/>
        <rFont val="Times New Roman"/>
        <family val="1"/>
      </rPr>
      <t xml:space="preserve">Cycling
</t>
    </r>
    <r>
      <rPr>
        <sz val="11"/>
        <color rgb="FF1F487C"/>
        <rFont val="Times New Roman"/>
        <family val="1"/>
      </rPr>
      <t>Boulevard/“Sharrow”</t>
    </r>
  </si>
  <si>
    <r>
      <rPr>
        <sz val="11"/>
        <color rgb="FF1F487C"/>
        <rFont val="Times New Roman"/>
        <family val="1"/>
      </rPr>
      <t>Separated Cycle Track</t>
    </r>
  </si>
  <si>
    <r>
      <rPr>
        <sz val="11"/>
        <color rgb="FF1F487C"/>
        <rFont val="Times New Roman"/>
        <family val="1"/>
      </rPr>
      <t xml:space="preserve">1)   Values should only be applied over sections for which a comparable parallel facility is not available, and only applies to miles cycled on the project facility. These values assume an average cycling trip speed of 9.8 miles per hour or, in the case of off-street paths with no at- grade crossings, a free-flow cycling speed of 12.1 miles per hour. The estimated value per cyclist should be capped at 2.38 miles, the average length of a cycling trip in the 2017 National Household Travel Survey, unless the applicant has specific documentation suggesting longer trips or that a trip shorter than 2.38 miles is not feasible on the facility in question. In other words, applicants should not assume all cyclists travel the full distance of a proposed facility if the facility is longer than 2.38 miles without a clear justification for doing so.
</t>
    </r>
    <r>
      <rPr>
        <sz val="11"/>
        <color rgb="FF1F487C"/>
        <rFont val="Times New Roman"/>
        <family val="1"/>
      </rPr>
      <t xml:space="preserve">2)   The value for a cycling path with no at-grade intersections is higher due to an assumption of higher average speed of 12.1 miles per hour, resulting in less time on the facility, which lowers journey quality
</t>
    </r>
    <r>
      <rPr>
        <sz val="11"/>
        <color rgb="FF1F487C"/>
        <rFont val="Times New Roman"/>
        <family val="1"/>
      </rPr>
      <t>benefits but increases travel time savings.</t>
    </r>
  </si>
  <si>
    <r>
      <rPr>
        <i/>
        <sz val="11"/>
        <rFont val="Times New Roman"/>
        <family val="1"/>
      </rPr>
      <t xml:space="preserve">Public Transport Customer Amenity Valuation Database (2017)
</t>
    </r>
    <r>
      <rPr>
        <u/>
        <sz val="11"/>
        <color rgb="FF0000FF"/>
        <rFont val="Times New Roman"/>
        <family val="1"/>
      </rPr>
      <t>https://publictransportresearc</t>
    </r>
    <r>
      <rPr>
        <sz val="11"/>
        <color rgb="FF0000FF"/>
        <rFont val="Times New Roman"/>
        <family val="1"/>
      </rPr>
      <t xml:space="preserve"> </t>
    </r>
    <r>
      <rPr>
        <u/>
        <sz val="11"/>
        <color rgb="FF0000FF"/>
        <rFont val="Times New Roman"/>
        <family val="1"/>
      </rPr>
      <t>hgroup.info/portfolio-</t>
    </r>
    <r>
      <rPr>
        <sz val="11"/>
        <color rgb="FF0000FF"/>
        <rFont val="Times New Roman"/>
        <family val="1"/>
      </rPr>
      <t xml:space="preserve"> </t>
    </r>
    <r>
      <rPr>
        <u/>
        <sz val="11"/>
        <color rgb="FF0000FF"/>
        <rFont val="Times New Roman"/>
        <family val="1"/>
      </rPr>
      <t>item/best-practice-</t>
    </r>
    <r>
      <rPr>
        <sz val="11"/>
        <color rgb="FF0000FF"/>
        <rFont val="Times New Roman"/>
        <family val="1"/>
      </rPr>
      <t xml:space="preserve"> </t>
    </r>
    <r>
      <rPr>
        <u/>
        <sz val="11"/>
        <color rgb="FF0000FF"/>
        <rFont val="Times New Roman"/>
        <family val="1"/>
      </rPr>
      <t>approaches-to-public-</t>
    </r>
    <r>
      <rPr>
        <sz val="11"/>
        <color rgb="FF0000FF"/>
        <rFont val="Times New Roman"/>
        <family val="1"/>
      </rPr>
      <t xml:space="preserve"> </t>
    </r>
    <r>
      <rPr>
        <u/>
        <sz val="11"/>
        <color rgb="FF0000FF"/>
        <rFont val="Times New Roman"/>
        <family val="1"/>
      </rPr>
      <t>transport-customer-amenity-</t>
    </r>
    <r>
      <rPr>
        <sz val="11"/>
        <color rgb="FF0000FF"/>
        <rFont val="Times New Roman"/>
        <family val="1"/>
      </rPr>
      <t xml:space="preserve"> </t>
    </r>
    <r>
      <rPr>
        <u/>
        <sz val="11"/>
        <color rgb="FF0000FF"/>
        <rFont val="Times New Roman"/>
        <family val="1"/>
      </rPr>
      <t xml:space="preserve">valuation/
</t>
    </r>
    <r>
      <rPr>
        <b/>
        <sz val="11"/>
        <rFont val="Times New Roman"/>
        <family val="1"/>
      </rPr>
      <t xml:space="preserve">Note: </t>
    </r>
    <r>
      <rPr>
        <sz val="11"/>
        <rFont val="Times New Roman"/>
        <family val="1"/>
      </rPr>
      <t>The underlying surveys for rail stations contained more facility attributes than those for bus or light rail/streetcar stops. However, the values for rail stations may be used for major bus or light rail transfer facilities as well as intercity bus stations where applicable.</t>
    </r>
  </si>
  <si>
    <r>
      <rPr>
        <b/>
        <sz val="11"/>
        <color rgb="FF1F487C"/>
        <rFont val="Times New Roman"/>
        <family val="1"/>
      </rPr>
      <t>Attribute Type</t>
    </r>
  </si>
  <si>
    <r>
      <rPr>
        <b/>
        <sz val="11"/>
        <color rgb="FF1F487C"/>
        <rFont val="Times New Roman"/>
        <family val="1"/>
      </rPr>
      <t>Recommended Value per User Trip (2021 $)</t>
    </r>
  </si>
  <si>
    <r>
      <rPr>
        <b/>
        <sz val="11"/>
        <color rgb="FF1F487C"/>
        <rFont val="Times New Roman"/>
        <family val="1"/>
      </rPr>
      <t>Bus Stop</t>
    </r>
  </si>
  <si>
    <r>
      <rPr>
        <b/>
        <sz val="11"/>
        <color rgb="FF1F487C"/>
        <rFont val="Times New Roman"/>
        <family val="1"/>
      </rPr>
      <t>Light Rail/Streetcar Stop</t>
    </r>
  </si>
  <si>
    <r>
      <rPr>
        <b/>
        <sz val="11"/>
        <color rgb="FF1F487C"/>
        <rFont val="Times New Roman"/>
        <family val="1"/>
      </rPr>
      <t>Rail Station</t>
    </r>
  </si>
  <si>
    <r>
      <rPr>
        <sz val="11"/>
        <color rgb="FF1F487C"/>
        <rFont val="Times New Roman"/>
        <family val="1"/>
      </rPr>
      <t>Clocks</t>
    </r>
  </si>
  <si>
    <r>
      <rPr>
        <sz val="11"/>
        <color rgb="FF1F487C"/>
        <rFont val="Times New Roman"/>
        <family val="1"/>
      </rPr>
      <t>Electronic Real-Time Information Displays</t>
    </r>
  </si>
  <si>
    <r>
      <rPr>
        <sz val="11"/>
        <color rgb="FF1F487C"/>
        <rFont val="Times New Roman"/>
        <family val="1"/>
      </rPr>
      <t xml:space="preserve">Information
</t>
    </r>
    <r>
      <rPr>
        <sz val="11"/>
        <color rgb="FF1F487C"/>
        <rFont val="Times New Roman"/>
        <family val="1"/>
      </rPr>
      <t>/Emergency Button</t>
    </r>
  </si>
  <si>
    <r>
      <rPr>
        <sz val="11"/>
        <color rgb="FF1F487C"/>
        <rFont val="Times New Roman"/>
        <family val="1"/>
      </rPr>
      <t>PA System</t>
    </r>
  </si>
  <si>
    <r>
      <rPr>
        <sz val="11"/>
        <color rgb="FF1F487C"/>
        <rFont val="Times New Roman"/>
        <family val="1"/>
      </rPr>
      <t>Platform/Stop Seating Availability</t>
    </r>
    <r>
      <rPr>
        <vertAlign val="superscript"/>
        <sz val="11"/>
        <color rgb="FF1F487C"/>
        <rFont val="Times New Roman"/>
        <family val="1"/>
      </rPr>
      <t>1</t>
    </r>
  </si>
  <si>
    <r>
      <rPr>
        <sz val="11"/>
        <color rgb="FF1F487C"/>
        <rFont val="Times New Roman"/>
        <family val="1"/>
      </rPr>
      <t xml:space="preserve">Platform/Stop
</t>
    </r>
    <r>
      <rPr>
        <sz val="11"/>
        <color rgb="FF1F487C"/>
        <rFont val="Times New Roman"/>
        <family val="1"/>
      </rPr>
      <t>Weather Protection</t>
    </r>
    <r>
      <rPr>
        <vertAlign val="superscript"/>
        <sz val="11"/>
        <color rgb="FF1F487C"/>
        <rFont val="Times New Roman"/>
        <family val="1"/>
      </rPr>
      <t>1</t>
    </r>
  </si>
  <si>
    <r>
      <rPr>
        <sz val="11"/>
        <color rgb="FF1F487C"/>
        <rFont val="Times New Roman"/>
        <family val="1"/>
      </rPr>
      <t xml:space="preserve">Restroom
</t>
    </r>
    <r>
      <rPr>
        <sz val="11"/>
        <color rgb="FF1F487C"/>
        <rFont val="Times New Roman"/>
        <family val="1"/>
      </rPr>
      <t>Availability</t>
    </r>
  </si>
  <si>
    <r>
      <rPr>
        <sz val="11"/>
        <color rgb="FF1F487C"/>
        <rFont val="Times New Roman"/>
        <family val="1"/>
      </rPr>
      <t>Retail/Food Outlet Availability</t>
    </r>
  </si>
  <si>
    <r>
      <rPr>
        <sz val="11"/>
        <color rgb="FF1F487C"/>
        <rFont val="Times New Roman"/>
        <family val="1"/>
      </rPr>
      <t>Staff Availability</t>
    </r>
  </si>
  <si>
    <r>
      <rPr>
        <sz val="11"/>
        <color rgb="FF1F487C"/>
        <rFont val="Times New Roman"/>
        <family val="1"/>
      </rPr>
      <t>Step-Free Access to Station/Stop</t>
    </r>
  </si>
  <si>
    <r>
      <rPr>
        <sz val="11"/>
        <color rgb="FF1F487C"/>
        <rFont val="Times New Roman"/>
        <family val="1"/>
      </rPr>
      <t>Step-Free Access to Vehicle</t>
    </r>
  </si>
  <si>
    <r>
      <rPr>
        <sz val="11"/>
        <color rgb="FF1F487C"/>
        <rFont val="Times New Roman"/>
        <family val="1"/>
      </rPr>
      <t>Surveillance Cameras</t>
    </r>
  </si>
  <si>
    <r>
      <rPr>
        <sz val="11"/>
        <color rgb="FF1F487C"/>
        <rFont val="Times New Roman"/>
        <family val="1"/>
      </rPr>
      <t xml:space="preserve">Temperature Controlled
</t>
    </r>
    <r>
      <rPr>
        <sz val="11"/>
        <color rgb="FF1F487C"/>
        <rFont val="Times New Roman"/>
        <family val="1"/>
      </rPr>
      <t>Environment</t>
    </r>
    <r>
      <rPr>
        <vertAlign val="superscript"/>
        <sz val="11"/>
        <color rgb="FF1F487C"/>
        <rFont val="Times New Roman"/>
        <family val="1"/>
      </rPr>
      <t>1</t>
    </r>
  </si>
  <si>
    <r>
      <rPr>
        <sz val="11"/>
        <color rgb="FF1F487C"/>
        <rFont val="Times New Roman"/>
        <family val="1"/>
      </rPr>
      <t>Ticket Machines</t>
    </r>
  </si>
  <si>
    <r>
      <rPr>
        <sz val="11"/>
        <color rgb="FF1F487C"/>
        <rFont val="Times New Roman"/>
        <family val="1"/>
      </rPr>
      <t>Timetables</t>
    </r>
  </si>
  <si>
    <r>
      <rPr>
        <sz val="11"/>
        <color rgb="FF1F487C"/>
        <rFont val="Times New Roman"/>
        <family val="1"/>
      </rPr>
      <t>Bike Facilities</t>
    </r>
  </si>
  <si>
    <r>
      <rPr>
        <sz val="11"/>
        <color rgb="FF1F487C"/>
        <rFont val="Times New Roman"/>
        <family val="1"/>
      </rPr>
      <t>*</t>
    </r>
  </si>
  <si>
    <r>
      <rPr>
        <sz val="11"/>
        <color rgb="FF1F487C"/>
        <rFont val="Times New Roman"/>
        <family val="1"/>
      </rPr>
      <t>Car Access Facilities</t>
    </r>
  </si>
  <si>
    <r>
      <rPr>
        <sz val="11"/>
        <color rgb="FF1F487C"/>
        <rFont val="Times New Roman"/>
        <family val="1"/>
      </rPr>
      <t>Elevator</t>
    </r>
  </si>
  <si>
    <r>
      <rPr>
        <sz val="11"/>
        <color rgb="FF1F487C"/>
        <rFont val="Times New Roman"/>
        <family val="1"/>
      </rPr>
      <t>Escalators</t>
    </r>
  </si>
  <si>
    <r>
      <rPr>
        <sz val="11"/>
        <color rgb="FF1F487C"/>
        <rFont val="Times New Roman"/>
        <family val="1"/>
      </rPr>
      <t>On-Site Ticket Office</t>
    </r>
  </si>
  <si>
    <r>
      <rPr>
        <sz val="11"/>
        <color rgb="FF1F487C"/>
        <rFont val="Times New Roman"/>
        <family val="1"/>
      </rPr>
      <t>Taxi Pickup/Dropoff</t>
    </r>
  </si>
  <si>
    <r>
      <rPr>
        <sz val="11"/>
        <color rgb="FF1F487C"/>
        <rFont val="Times New Roman"/>
        <family val="1"/>
      </rPr>
      <t>Waiting Room</t>
    </r>
    <r>
      <rPr>
        <vertAlign val="superscript"/>
        <sz val="11"/>
        <color rgb="FF1F487C"/>
        <rFont val="Times New Roman"/>
        <family val="1"/>
      </rPr>
      <t>1</t>
    </r>
  </si>
  <si>
    <r>
      <rPr>
        <sz val="11"/>
        <color rgb="FF1F487C"/>
        <rFont val="Times New Roman"/>
        <family val="1"/>
      </rPr>
      <t xml:space="preserve">1)  Note that seating availability and weather protection refer to seats, canopies, or wind shelters on the platforms themselves, whereas temperature-controlled environment refers to an indoor facility with heating and air conditioning availability. A waiting room refers to a
</t>
    </r>
    <r>
      <rPr>
        <sz val="11"/>
        <color rgb="FF1F487C"/>
        <rFont val="Times New Roman"/>
        <family val="1"/>
      </rPr>
      <t>designated indoor environment with seating availability, separate from platform seating, which may or may not be temperature controlled.</t>
    </r>
  </si>
  <si>
    <r>
      <rPr>
        <i/>
        <sz val="11"/>
        <rFont val="Times New Roman"/>
        <family val="1"/>
      </rPr>
      <t xml:space="preserve">Public Transport Customer Amenity Valuation Database (2017)
</t>
    </r>
    <r>
      <rPr>
        <u/>
        <sz val="11"/>
        <color rgb="FF0000FF"/>
        <rFont val="Times New Roman"/>
        <family val="1"/>
      </rPr>
      <t>https://publictransportresearc</t>
    </r>
    <r>
      <rPr>
        <sz val="11"/>
        <color rgb="FF0000FF"/>
        <rFont val="Times New Roman"/>
        <family val="1"/>
      </rPr>
      <t xml:space="preserve"> </t>
    </r>
    <r>
      <rPr>
        <u/>
        <sz val="11"/>
        <color rgb="FF0000FF"/>
        <rFont val="Times New Roman"/>
        <family val="1"/>
      </rPr>
      <t>hgroup.info/portfolio-</t>
    </r>
    <r>
      <rPr>
        <sz val="11"/>
        <color rgb="FF0000FF"/>
        <rFont val="Times New Roman"/>
        <family val="1"/>
      </rPr>
      <t xml:space="preserve"> </t>
    </r>
    <r>
      <rPr>
        <u/>
        <sz val="11"/>
        <color rgb="FF0000FF"/>
        <rFont val="Times New Roman"/>
        <family val="1"/>
      </rPr>
      <t>item/best-practice-</t>
    </r>
    <r>
      <rPr>
        <sz val="11"/>
        <color rgb="FF0000FF"/>
        <rFont val="Times New Roman"/>
        <family val="1"/>
      </rPr>
      <t xml:space="preserve"> </t>
    </r>
    <r>
      <rPr>
        <u/>
        <sz val="11"/>
        <color rgb="FF0000FF"/>
        <rFont val="Times New Roman"/>
        <family val="1"/>
      </rPr>
      <t>approaches-to-public-</t>
    </r>
    <r>
      <rPr>
        <sz val="11"/>
        <color rgb="FF0000FF"/>
        <rFont val="Times New Roman"/>
        <family val="1"/>
      </rPr>
      <t xml:space="preserve"> </t>
    </r>
    <r>
      <rPr>
        <u/>
        <sz val="11"/>
        <color rgb="FF0000FF"/>
        <rFont val="Times New Roman"/>
        <family val="1"/>
      </rPr>
      <t>transport-customer-amenity-</t>
    </r>
    <r>
      <rPr>
        <sz val="11"/>
        <color rgb="FF0000FF"/>
        <rFont val="Times New Roman"/>
        <family val="1"/>
      </rPr>
      <t xml:space="preserve"> </t>
    </r>
    <r>
      <rPr>
        <u/>
        <sz val="11"/>
        <color rgb="FF0000FF"/>
        <rFont val="Times New Roman"/>
        <family val="1"/>
      </rPr>
      <t>valuation/</t>
    </r>
  </si>
  <si>
    <r>
      <rPr>
        <b/>
        <sz val="11"/>
        <color rgb="FF1F487C"/>
        <rFont val="Times New Roman"/>
        <family val="1"/>
      </rPr>
      <t>Bus</t>
    </r>
  </si>
  <si>
    <r>
      <rPr>
        <b/>
        <sz val="11"/>
        <color rgb="FF1F487C"/>
        <rFont val="Times New Roman"/>
        <family val="1"/>
      </rPr>
      <t>Light Rail/Streetcar</t>
    </r>
  </si>
  <si>
    <r>
      <rPr>
        <b/>
        <sz val="11"/>
        <color rgb="FF1F487C"/>
        <rFont val="Times New Roman"/>
        <family val="1"/>
      </rPr>
      <t>Rail</t>
    </r>
  </si>
  <si>
    <r>
      <rPr>
        <sz val="11"/>
        <color rgb="FF1F487C"/>
        <rFont val="Times New Roman"/>
        <family val="1"/>
      </rPr>
      <t xml:space="preserve">Electronic Real-Time
</t>
    </r>
    <r>
      <rPr>
        <sz val="11"/>
        <color rgb="FF1F487C"/>
        <rFont val="Times New Roman"/>
        <family val="1"/>
      </rPr>
      <t>Information Displays</t>
    </r>
  </si>
  <si>
    <r>
      <rPr>
        <sz val="11"/>
        <color rgb="FF1F487C"/>
        <rFont val="Times New Roman"/>
        <family val="1"/>
      </rPr>
      <t>Handrails</t>
    </r>
  </si>
  <si>
    <r>
      <rPr>
        <sz val="11"/>
        <color rgb="FF1F487C"/>
        <rFont val="Times New Roman"/>
        <family val="1"/>
      </rPr>
      <t>Luggage Storage</t>
    </r>
  </si>
  <si>
    <r>
      <rPr>
        <sz val="11"/>
        <color rgb="FF1F487C"/>
        <rFont val="Times New Roman"/>
        <family val="1"/>
      </rPr>
      <t>Temperature Control</t>
    </r>
  </si>
  <si>
    <r>
      <rPr>
        <sz val="11"/>
        <color rgb="FF1F487C"/>
        <rFont val="Times New Roman"/>
        <family val="1"/>
      </rPr>
      <t>Wheelchair Space</t>
    </r>
  </si>
  <si>
    <r>
      <rPr>
        <sz val="11"/>
        <color rgb="FF1F487C"/>
        <rFont val="Times New Roman"/>
        <family val="1"/>
      </rPr>
      <t>Food Service Availability</t>
    </r>
  </si>
  <si>
    <r>
      <rPr>
        <sz val="11"/>
        <color rgb="FF1F487C"/>
        <rFont val="Times New Roman"/>
        <family val="1"/>
      </rPr>
      <t>Restroom Availability</t>
    </r>
  </si>
  <si>
    <r>
      <rPr>
        <i/>
        <sz val="11"/>
        <rFont val="Times New Roman"/>
        <family val="1"/>
      </rPr>
      <t xml:space="preserve">Federal Transit Administration’s
</t>
    </r>
    <r>
      <rPr>
        <i/>
        <sz val="11"/>
        <rFont val="Times New Roman"/>
        <family val="1"/>
      </rPr>
      <t xml:space="preserve">Simplified Trips-On- Project Model
</t>
    </r>
    <r>
      <rPr>
        <u/>
        <sz val="11"/>
        <color rgb="FF0000FF"/>
        <rFont val="Times New Roman"/>
        <family val="1"/>
      </rPr>
      <t>https://www.transit.dot.go</t>
    </r>
    <r>
      <rPr>
        <sz val="11"/>
        <color rgb="FF0000FF"/>
        <rFont val="Times New Roman"/>
        <family val="1"/>
      </rPr>
      <t xml:space="preserve"> </t>
    </r>
    <r>
      <rPr>
        <u/>
        <sz val="11"/>
        <color rgb="FF0000FF"/>
        <rFont val="Times New Roman"/>
        <family val="1"/>
      </rPr>
      <t>v/funding/grant-</t>
    </r>
    <r>
      <rPr>
        <sz val="11"/>
        <color rgb="FF0000FF"/>
        <rFont val="Times New Roman"/>
        <family val="1"/>
      </rPr>
      <t xml:space="preserve"> </t>
    </r>
    <r>
      <rPr>
        <u/>
        <sz val="11"/>
        <color rgb="FF0000FF"/>
        <rFont val="Times New Roman"/>
        <family val="1"/>
      </rPr>
      <t>programs/capital-</t>
    </r>
    <r>
      <rPr>
        <sz val="11"/>
        <color rgb="FF0000FF"/>
        <rFont val="Times New Roman"/>
        <family val="1"/>
      </rPr>
      <t xml:space="preserve"> </t>
    </r>
    <r>
      <rPr>
        <u/>
        <sz val="11"/>
        <color rgb="FF0000FF"/>
        <rFont val="Times New Roman"/>
        <family val="1"/>
      </rPr>
      <t>investments/stops</t>
    </r>
  </si>
  <si>
    <r>
      <rPr>
        <b/>
        <sz val="11"/>
        <color rgb="FF1F487C"/>
        <rFont val="Times New Roman"/>
        <family val="1"/>
      </rPr>
      <t>Transit Mode</t>
    </r>
  </si>
  <si>
    <r>
      <rPr>
        <b/>
        <sz val="11"/>
        <color rgb="FF1F487C"/>
        <rFont val="Times New Roman"/>
        <family val="1"/>
      </rPr>
      <t xml:space="preserve">Boarding Quality
</t>
    </r>
    <r>
      <rPr>
        <b/>
        <sz val="11"/>
        <color rgb="FF1F487C"/>
        <rFont val="Times New Roman"/>
        <family val="1"/>
      </rPr>
      <t>Benefit (Per Boarding) ($2021)</t>
    </r>
    <r>
      <rPr>
        <b/>
        <vertAlign val="superscript"/>
        <sz val="11"/>
        <color rgb="FF1F487C"/>
        <rFont val="Times New Roman"/>
        <family val="1"/>
      </rPr>
      <t>1</t>
    </r>
  </si>
  <si>
    <r>
      <rPr>
        <b/>
        <sz val="11"/>
        <color rgb="FF1F487C"/>
        <rFont val="Times New Roman"/>
        <family val="1"/>
      </rPr>
      <t xml:space="preserve">Vehicle Ride Quality
</t>
    </r>
    <r>
      <rPr>
        <b/>
        <sz val="11"/>
        <color rgb="FF1F487C"/>
        <rFont val="Times New Roman"/>
        <family val="1"/>
      </rPr>
      <t xml:space="preserve">Benefit (Per Passenger Hour)
</t>
    </r>
    <r>
      <rPr>
        <b/>
        <sz val="11"/>
        <color rgb="FF1F487C"/>
        <rFont val="Times New Roman"/>
        <family val="1"/>
      </rPr>
      <t>($2021)</t>
    </r>
    <r>
      <rPr>
        <b/>
        <vertAlign val="superscript"/>
        <sz val="11"/>
        <color rgb="FF1F487C"/>
        <rFont val="Times New Roman"/>
        <family val="1"/>
      </rPr>
      <t>1</t>
    </r>
  </si>
  <si>
    <r>
      <rPr>
        <sz val="11"/>
        <color rgb="FF1F487C"/>
        <rFont val="Times New Roman"/>
        <family val="1"/>
      </rPr>
      <t>Low-Intensive BRT</t>
    </r>
    <r>
      <rPr>
        <vertAlign val="superscript"/>
        <sz val="11"/>
        <color rgb="FF1F487C"/>
        <rFont val="Times New Roman"/>
        <family val="1"/>
      </rPr>
      <t>2</t>
    </r>
  </si>
  <si>
    <r>
      <rPr>
        <sz val="11"/>
        <color rgb="FF1F487C"/>
        <rFont val="Times New Roman"/>
        <family val="1"/>
      </rPr>
      <t>Medium-Intensive BRT</t>
    </r>
    <r>
      <rPr>
        <vertAlign val="superscript"/>
        <sz val="11"/>
        <color rgb="FF1F487C"/>
        <rFont val="Times New Roman"/>
        <family val="1"/>
      </rPr>
      <t>2</t>
    </r>
  </si>
  <si>
    <r>
      <rPr>
        <sz val="11"/>
        <color rgb="FF1F487C"/>
        <rFont val="Times New Roman"/>
        <family val="1"/>
      </rPr>
      <t>High-Intensive BRT</t>
    </r>
    <r>
      <rPr>
        <vertAlign val="superscript"/>
        <sz val="11"/>
        <color rgb="FF1F487C"/>
        <rFont val="Times New Roman"/>
        <family val="1"/>
      </rPr>
      <t>2,3</t>
    </r>
  </si>
  <si>
    <r>
      <rPr>
        <sz val="11"/>
        <color rgb="FF1F487C"/>
        <rFont val="Times New Roman"/>
        <family val="1"/>
      </rPr>
      <t>Streetcar or On-Street Light Rail Transit</t>
    </r>
  </si>
  <si>
    <r>
      <rPr>
        <sz val="11"/>
        <color rgb="FF1F487C"/>
        <rFont val="Times New Roman"/>
        <family val="1"/>
      </rPr>
      <t xml:space="preserve">Off-Street Light Rail
</t>
    </r>
    <r>
      <rPr>
        <sz val="11"/>
        <color rgb="FF1F487C"/>
        <rFont val="Times New Roman"/>
        <family val="1"/>
      </rPr>
      <t>Transit</t>
    </r>
  </si>
  <si>
    <r>
      <rPr>
        <sz val="11"/>
        <color rgb="FF1F487C"/>
        <rFont val="Times New Roman"/>
        <family val="1"/>
      </rPr>
      <t>Heavy Rail</t>
    </r>
  </si>
  <si>
    <r>
      <rPr>
        <sz val="11"/>
        <color rgb="FF1F487C"/>
        <rFont val="Times New Roman"/>
        <family val="1"/>
      </rPr>
      <t>Commuter Rail</t>
    </r>
  </si>
  <si>
    <r>
      <rPr>
        <sz val="11"/>
        <color rgb="FF1F487C"/>
        <rFont val="Times New Roman"/>
        <family val="1"/>
      </rPr>
      <t>Ferry</t>
    </r>
    <r>
      <rPr>
        <vertAlign val="superscript"/>
        <sz val="11"/>
        <color rgb="FF1F487C"/>
        <rFont val="Times New Roman"/>
        <family val="1"/>
      </rPr>
      <t>3</t>
    </r>
  </si>
  <si>
    <r>
      <rPr>
        <sz val="11"/>
        <color rgb="FF1F487C"/>
        <rFont val="Times New Roman"/>
        <family val="1"/>
      </rPr>
      <t xml:space="preserve">1\   Values applicable when base case is transit use of standard on-street bus, the reference case used to create these values. When comparing other types of modal shift, the differences between the relevant modal values above should be used.
</t>
    </r>
    <r>
      <rPr>
        <sz val="11"/>
        <color rgb="FF1F487C"/>
        <rFont val="Times New Roman"/>
        <family val="1"/>
      </rPr>
      <t xml:space="preserve">2\   Low-intensive BRT would include special service branding, low floor vehicles, at least 50 percent of route in dedicated lanes and potentially shared turns and the remainder in mixed-traffic, some signal priority, level boarding, off-board fare collection, and visually distinct stations. Medium- intensive BRT would include features of Low-intensive BRT but have 100 percent of the route in dedicated lanes, traffic signal priority throughout the corridor, and median-running service or right-turn prohibitions. High- intensive BRT would have a completely sealed right-of-way with no traffic interference and traffic signal preemption, akin to a “rubber-tired railroad.”
</t>
    </r>
    <r>
      <rPr>
        <sz val="11"/>
        <color rgb="FF1F487C"/>
        <rFont val="Times New Roman"/>
        <family val="1"/>
      </rPr>
      <t xml:space="preserve">3\ The Capital Investment Grant program has to date not completed a before- and-after study of ridership on a ferry project or a high-intensive BRT as described above, and thus does not have a calibrated estimate for the fixed- guideway setting for those modes. Thus, these values represent the current best estimates, considering average station and ride quality relative to other
</t>
    </r>
    <r>
      <rPr>
        <sz val="11"/>
        <color rgb="FF1F487C"/>
        <rFont val="Times New Roman"/>
        <family val="1"/>
      </rPr>
      <t>transit modes.</t>
    </r>
  </si>
  <si>
    <r>
      <rPr>
        <sz val="11"/>
        <rFont val="Times New Roman"/>
        <family val="1"/>
      </rPr>
      <t xml:space="preserve">Physical activity risk reduction assumptions based on:
</t>
    </r>
    <r>
      <rPr>
        <i/>
        <sz val="11"/>
        <rFont val="Times New Roman"/>
        <family val="1"/>
      </rPr>
      <t xml:space="preserve">Health Economic Assessment Tool (HEAT) for Walking and For Cycling (2017) </t>
    </r>
    <r>
      <rPr>
        <u/>
        <sz val="11"/>
        <color rgb="FF0000FF"/>
        <rFont val="Times New Roman"/>
        <family val="1"/>
      </rPr>
      <t>https://www.euro.who.int/    data/assets/pdf_fil</t>
    </r>
    <r>
      <rPr>
        <sz val="11"/>
        <color rgb="FF0000FF"/>
        <rFont val="Times New Roman"/>
        <family val="1"/>
      </rPr>
      <t xml:space="preserve"> </t>
    </r>
    <r>
      <rPr>
        <u/>
        <sz val="11"/>
        <color rgb="FF0000FF"/>
        <rFont val="Times New Roman"/>
        <family val="1"/>
      </rPr>
      <t xml:space="preserve">e/0010/352963/Heat.pdf
</t>
    </r>
    <r>
      <rPr>
        <sz val="11"/>
        <rFont val="Times New Roman"/>
        <family val="1"/>
      </rPr>
      <t xml:space="preserve">Average walking speed, average weighted age for those who walk or cycle, average walk or cycling trip distance, and national average active transportation mode distribution based on:
</t>
    </r>
    <r>
      <rPr>
        <i/>
        <sz val="11"/>
        <rFont val="Times New Roman"/>
        <family val="1"/>
      </rPr>
      <t xml:space="preserve">National Household Travel Survey (2017)
</t>
    </r>
    <r>
      <rPr>
        <u/>
        <sz val="11"/>
        <color rgb="FF0000FF"/>
        <rFont val="Times New Roman"/>
        <family val="1"/>
      </rPr>
      <t xml:space="preserve">https://nhts.ornl.gov/
</t>
    </r>
    <r>
      <rPr>
        <sz val="11"/>
        <rFont val="Times New Roman"/>
        <family val="1"/>
      </rPr>
      <t xml:space="preserve">Baseline mortality risk based on:
</t>
    </r>
    <r>
      <rPr>
        <i/>
        <sz val="11"/>
        <rFont val="Times New Roman"/>
        <family val="1"/>
      </rPr>
      <t xml:space="preserve">National Centers for Health Statistics Underlying Cause of Death 2018-2019 on CDC WONDER Online Database (2020) </t>
    </r>
    <r>
      <rPr>
        <u/>
        <sz val="11"/>
        <color rgb="FF0000FF"/>
        <rFont val="Times New Roman"/>
        <family val="1"/>
      </rPr>
      <t xml:space="preserve">https://wonder.cdc.gov/
</t>
    </r>
    <r>
      <rPr>
        <sz val="11"/>
        <rFont val="Times New Roman"/>
        <family val="1"/>
      </rPr>
      <t xml:space="preserve">Estimates of national population falling within applicable age ranges based on:
</t>
    </r>
    <r>
      <rPr>
        <i/>
        <sz val="11"/>
        <rFont val="Times New Roman"/>
        <family val="1"/>
      </rPr>
      <t xml:space="preserve">United States Census Bureau, Current Population Survey, Annual Social and Economic Supplement (2019) </t>
    </r>
    <r>
      <rPr>
        <u/>
        <sz val="11"/>
        <color rgb="FF0000FF"/>
        <rFont val="Times New Roman"/>
        <family val="1"/>
      </rPr>
      <t xml:space="preserve">https://www.census.gov/data/tables/2019/demo
</t>
    </r>
    <r>
      <rPr>
        <u/>
        <sz val="11"/>
        <color rgb="FF0000FF"/>
        <rFont val="Times New Roman"/>
        <family val="1"/>
      </rPr>
      <t xml:space="preserve">/age-and-sex/2019-age-sex-composition.html
</t>
    </r>
    <r>
      <rPr>
        <sz val="11"/>
        <rFont val="Times New Roman"/>
        <family val="1"/>
      </rPr>
      <t xml:space="preserve">Assumed average cycling speed based on cycling studies cited in Appendix A, </t>
    </r>
    <r>
      <rPr>
        <i/>
        <sz val="11"/>
        <rFont val="Cambria"/>
        <family val="1"/>
      </rPr>
      <t>Table A- 9</t>
    </r>
    <r>
      <rPr>
        <sz val="11"/>
        <rFont val="Times New Roman"/>
        <family val="1"/>
      </rPr>
      <t>.</t>
    </r>
  </si>
  <si>
    <r>
      <rPr>
        <b/>
        <sz val="11"/>
        <color rgb="FF1F487C"/>
        <rFont val="Times New Roman"/>
        <family val="1"/>
      </rPr>
      <t>Mode</t>
    </r>
  </si>
  <si>
    <r>
      <rPr>
        <b/>
        <sz val="11"/>
        <color rgb="FF1F487C"/>
        <rFont val="Times New Roman"/>
        <family val="1"/>
      </rPr>
      <t xml:space="preserve">Applicable
</t>
    </r>
    <r>
      <rPr>
        <b/>
        <sz val="11"/>
        <color rgb="FF1F487C"/>
        <rFont val="Times New Roman"/>
        <family val="1"/>
      </rPr>
      <t>Age Range</t>
    </r>
    <r>
      <rPr>
        <b/>
        <vertAlign val="superscript"/>
        <sz val="11"/>
        <color rgb="FF1F487C"/>
        <rFont val="Times New Roman"/>
        <family val="1"/>
      </rPr>
      <t>3</t>
    </r>
  </si>
  <si>
    <r>
      <rPr>
        <b/>
        <sz val="11"/>
        <color rgb="FF1F487C"/>
        <rFont val="Times New Roman"/>
        <family val="1"/>
      </rPr>
      <t>Recommended Value per Induced Trip (2021 $)</t>
    </r>
    <r>
      <rPr>
        <b/>
        <vertAlign val="superscript"/>
        <sz val="11"/>
        <color rgb="FF1F487C"/>
        <rFont val="Times New Roman"/>
        <family val="1"/>
      </rPr>
      <t>4</t>
    </r>
  </si>
  <si>
    <r>
      <rPr>
        <sz val="11"/>
        <color rgb="FF1F487C"/>
        <rFont val="Times New Roman"/>
        <family val="1"/>
      </rPr>
      <t>Walking</t>
    </r>
    <r>
      <rPr>
        <vertAlign val="superscript"/>
        <sz val="11"/>
        <color rgb="FF1F487C"/>
        <rFont val="Times New Roman"/>
        <family val="1"/>
      </rPr>
      <t>1</t>
    </r>
  </si>
  <si>
    <r>
      <rPr>
        <sz val="11"/>
        <color rgb="FF1F487C"/>
        <rFont val="Times New Roman"/>
        <family val="1"/>
      </rPr>
      <t>Ages 20-74</t>
    </r>
  </si>
  <si>
    <r>
      <rPr>
        <sz val="11"/>
        <color rgb="FF1F487C"/>
        <rFont val="Times New Roman"/>
        <family val="1"/>
      </rPr>
      <t>Cycling</t>
    </r>
    <r>
      <rPr>
        <vertAlign val="superscript"/>
        <sz val="11"/>
        <color rgb="FF1F487C"/>
        <rFont val="Times New Roman"/>
        <family val="1"/>
      </rPr>
      <t>2</t>
    </r>
  </si>
  <si>
    <r>
      <rPr>
        <sz val="11"/>
        <color rgb="FF1F487C"/>
        <rFont val="Times New Roman"/>
        <family val="1"/>
      </rPr>
      <t>Ages 20-64</t>
    </r>
  </si>
  <si>
    <r>
      <rPr>
        <sz val="11"/>
        <color rgb="FF1F487C"/>
        <rFont val="Times New Roman"/>
        <family val="1"/>
      </rPr>
      <t xml:space="preserve">1)   Based on an assumed average walking speed of 3.2 miles per hour, an assumed average age of the relevant age range (20-74 years) of 45, a corresponding baseline mortality risk of 267.1 per 100,000, an annual risk reduction of 8.6 percent per daily mile walked, and an average walking trip distance of 0.86 miles.
</t>
    </r>
    <r>
      <rPr>
        <sz val="11"/>
        <color rgb="FF1F487C"/>
        <rFont val="Times New Roman"/>
        <family val="1"/>
      </rPr>
      <t xml:space="preserve">2)   Based on an assumed average cycling speed of 9.8 miles per hour, an assumed average age of the relevant age range (20-64 years) of 42, a corresponding baseline mortality risk of 217.9 per 100,000, an annual risk reduction of 4.3 percent per daily mile cycled, and an average cycling trip distance of 2.38 miles.
</t>
    </r>
    <r>
      <rPr>
        <sz val="11"/>
        <color rgb="FF1F487C"/>
        <rFont val="Times New Roman"/>
        <family val="1"/>
      </rPr>
      <t xml:space="preserve">3)   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
</t>
    </r>
    <r>
      <rPr>
        <sz val="11"/>
        <color rgb="FF1F487C"/>
        <rFont val="Times New Roman"/>
        <family val="1"/>
      </rPr>
      <t>4)   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t>
    </r>
  </si>
  <si>
    <r>
      <rPr>
        <i/>
        <sz val="11"/>
        <rFont val="Times New Roman"/>
        <family val="1"/>
      </rPr>
      <t xml:space="preserve">Highway Cost Allocation Study (1997)
</t>
    </r>
    <r>
      <rPr>
        <u/>
        <sz val="11"/>
        <color rgb="FF0000FF"/>
        <rFont val="Times New Roman"/>
        <family val="1"/>
      </rPr>
      <t xml:space="preserve">https://www.fhwa.dot
</t>
    </r>
    <r>
      <rPr>
        <u/>
        <sz val="11"/>
        <color rgb="FF0000FF"/>
        <rFont val="Times New Roman"/>
        <family val="1"/>
      </rPr>
      <t>.gov/policy/otps/costa</t>
    </r>
    <r>
      <rPr>
        <sz val="11"/>
        <color rgb="FF0000FF"/>
        <rFont val="Times New Roman"/>
        <family val="1"/>
      </rPr>
      <t xml:space="preserve"> </t>
    </r>
    <r>
      <rPr>
        <u/>
        <sz val="11"/>
        <color rgb="FF0000FF"/>
        <rFont val="Times New Roman"/>
        <family val="1"/>
      </rPr>
      <t xml:space="preserve">llocation.cfm
</t>
    </r>
    <r>
      <rPr>
        <i/>
        <sz val="11"/>
        <rFont val="Times New Roman"/>
        <family val="1"/>
      </rPr>
      <t xml:space="preserve">NHTSA Fatality Analysis Reporting System (2019) </t>
    </r>
    <r>
      <rPr>
        <u/>
        <sz val="11"/>
        <color rgb="FF0000FF"/>
        <rFont val="Times New Roman"/>
        <family val="1"/>
      </rPr>
      <t>https://www.nhtsa.go</t>
    </r>
    <r>
      <rPr>
        <sz val="11"/>
        <color rgb="FF0000FF"/>
        <rFont val="Times New Roman"/>
        <family val="1"/>
      </rPr>
      <t xml:space="preserve"> </t>
    </r>
    <r>
      <rPr>
        <u/>
        <sz val="11"/>
        <color rgb="FF0000FF"/>
        <rFont val="Times New Roman"/>
        <family val="1"/>
      </rPr>
      <t>v/research-</t>
    </r>
    <r>
      <rPr>
        <sz val="11"/>
        <color rgb="FF0000FF"/>
        <rFont val="Times New Roman"/>
        <family val="1"/>
      </rPr>
      <t xml:space="preserve"> </t>
    </r>
    <r>
      <rPr>
        <u/>
        <sz val="11"/>
        <color rgb="FF0000FF"/>
        <rFont val="Times New Roman"/>
        <family val="1"/>
      </rPr>
      <t>data/fatality-analysis-</t>
    </r>
    <r>
      <rPr>
        <sz val="11"/>
        <color rgb="FF0000FF"/>
        <rFont val="Times New Roman"/>
        <family val="1"/>
      </rPr>
      <t xml:space="preserve"> </t>
    </r>
    <r>
      <rPr>
        <u/>
        <sz val="11"/>
        <color rgb="FF0000FF"/>
        <rFont val="Times New Roman"/>
        <family val="1"/>
      </rPr>
      <t xml:space="preserve">reporting-system-fars
</t>
    </r>
    <r>
      <rPr>
        <i/>
        <sz val="11"/>
        <rFont val="Times New Roman"/>
        <family val="1"/>
      </rPr>
      <t xml:space="preserve">NHTSA Crash Report Sampling System (2019)
</t>
    </r>
    <r>
      <rPr>
        <u/>
        <sz val="11"/>
        <color rgb="FF0000FF"/>
        <rFont val="Times New Roman"/>
        <family val="1"/>
      </rPr>
      <t>https://www.nhtsa.go</t>
    </r>
    <r>
      <rPr>
        <sz val="11"/>
        <color rgb="FF0000FF"/>
        <rFont val="Times New Roman"/>
        <family val="1"/>
      </rPr>
      <t xml:space="preserve"> </t>
    </r>
    <r>
      <rPr>
        <u/>
        <sz val="11"/>
        <color rgb="FF0000FF"/>
        <rFont val="Times New Roman"/>
        <family val="1"/>
      </rPr>
      <t>v/crash-data-</t>
    </r>
    <r>
      <rPr>
        <sz val="11"/>
        <color rgb="FF0000FF"/>
        <rFont val="Times New Roman"/>
        <family val="1"/>
      </rPr>
      <t xml:space="preserve"> </t>
    </r>
    <r>
      <rPr>
        <u/>
        <sz val="11"/>
        <color rgb="FF0000FF"/>
        <rFont val="Times New Roman"/>
        <family val="1"/>
      </rPr>
      <t>systems/crash-report-</t>
    </r>
    <r>
      <rPr>
        <sz val="11"/>
        <color rgb="FF0000FF"/>
        <rFont val="Times New Roman"/>
        <family val="1"/>
      </rPr>
      <t xml:space="preserve"> </t>
    </r>
    <r>
      <rPr>
        <u/>
        <sz val="11"/>
        <color rgb="FF0000FF"/>
        <rFont val="Times New Roman"/>
        <family val="1"/>
      </rPr>
      <t>sampling-system</t>
    </r>
  </si>
  <si>
    <r>
      <rPr>
        <b/>
        <sz val="11"/>
        <color rgb="FF1F487C"/>
        <rFont val="Times New Roman"/>
        <family val="1"/>
      </rPr>
      <t>Vehicle Type and Location</t>
    </r>
  </si>
  <si>
    <r>
      <rPr>
        <b/>
        <sz val="11"/>
        <color rgb="FF1F487C"/>
        <rFont val="Times New Roman"/>
        <family val="1"/>
      </rPr>
      <t>Recommended Value of Cost per Vehicle</t>
    </r>
  </si>
  <si>
    <r>
      <rPr>
        <b/>
        <sz val="11"/>
        <color rgb="FF1F487C"/>
        <rFont val="Times New Roman"/>
        <family val="1"/>
      </rPr>
      <t>Mile Traveled (2021 $)</t>
    </r>
    <r>
      <rPr>
        <b/>
        <vertAlign val="superscript"/>
        <sz val="11"/>
        <color rgb="FF1F487C"/>
        <rFont val="Times New Roman"/>
        <family val="1"/>
      </rPr>
      <t>1</t>
    </r>
  </si>
  <si>
    <r>
      <rPr>
        <b/>
        <sz val="11"/>
        <color rgb="FF1F487C"/>
        <rFont val="Times New Roman"/>
        <family val="1"/>
      </rPr>
      <t>Congestion</t>
    </r>
  </si>
  <si>
    <r>
      <rPr>
        <b/>
        <sz val="11"/>
        <color rgb="FF1F487C"/>
        <rFont val="Times New Roman"/>
        <family val="1"/>
      </rPr>
      <t>Noise</t>
    </r>
  </si>
  <si>
    <r>
      <rPr>
        <b/>
        <sz val="11"/>
        <color rgb="FF1F487C"/>
        <rFont val="Times New Roman"/>
        <family val="1"/>
      </rPr>
      <t>Safety Cost</t>
    </r>
  </si>
  <si>
    <r>
      <rPr>
        <sz val="11"/>
        <color rgb="FF1F487C"/>
        <rFont val="Times New Roman"/>
        <family val="1"/>
      </rPr>
      <t>Light-Duty Vehicles - Urban</t>
    </r>
  </si>
  <si>
    <r>
      <rPr>
        <sz val="11"/>
        <color rgb="FF1F487C"/>
        <rFont val="Times New Roman"/>
        <family val="1"/>
      </rPr>
      <t>Light-Duty Vehicles - Rural</t>
    </r>
  </si>
  <si>
    <r>
      <rPr>
        <sz val="11"/>
        <color rgb="FF1F487C"/>
        <rFont val="Times New Roman"/>
        <family val="1"/>
      </rPr>
      <t>Light-Duty Vehicles – All</t>
    </r>
  </si>
  <si>
    <r>
      <rPr>
        <sz val="11"/>
        <color rgb="FF1F487C"/>
        <rFont val="Times New Roman"/>
        <family val="1"/>
      </rPr>
      <t>Locations</t>
    </r>
  </si>
  <si>
    <r>
      <rPr>
        <sz val="11"/>
        <color rgb="FF1F487C"/>
        <rFont val="Times New Roman"/>
        <family val="1"/>
      </rPr>
      <t>Buses and Trucks - Urban</t>
    </r>
  </si>
  <si>
    <r>
      <rPr>
        <sz val="11"/>
        <color rgb="FF1F487C"/>
        <rFont val="Times New Roman"/>
        <family val="1"/>
      </rPr>
      <t>Buses and Trucks - Rural</t>
    </r>
  </si>
  <si>
    <r>
      <rPr>
        <sz val="11"/>
        <color rgb="FF1F487C"/>
        <rFont val="Times New Roman"/>
        <family val="1"/>
      </rPr>
      <t>Buses and Trucks – All</t>
    </r>
  </si>
  <si>
    <r>
      <rPr>
        <sz val="11"/>
        <color rgb="FF1F487C"/>
        <rFont val="Times New Roman"/>
        <family val="1"/>
      </rPr>
      <t>All Vehicles - Urban</t>
    </r>
  </si>
  <si>
    <r>
      <rPr>
        <sz val="11"/>
        <color rgb="FF1F487C"/>
        <rFont val="Times New Roman"/>
        <family val="1"/>
      </rPr>
      <t>All Vehicles - Rural</t>
    </r>
  </si>
  <si>
    <r>
      <rPr>
        <sz val="11"/>
        <color rgb="FF1F487C"/>
        <rFont val="Times New Roman"/>
        <family val="1"/>
      </rPr>
      <t>All Vehicles – All Locations</t>
    </r>
  </si>
  <si>
    <r>
      <rPr>
        <sz val="11"/>
        <color rgb="FF1F487C"/>
        <rFont val="Times New Roman"/>
        <family val="1"/>
      </rPr>
      <t>1)   Congestion costs updated from the 1997 Highway Cost Allocation Study to</t>
    </r>
  </si>
  <si>
    <r>
      <rPr>
        <sz val="11"/>
        <color rgb="FF1F487C"/>
        <rFont val="Times New Roman"/>
        <family val="1"/>
      </rPr>
      <t>reflect increased traffic volumes, changes in vehicle occupancy, and increases in</t>
    </r>
  </si>
  <si>
    <r>
      <rPr>
        <sz val="11"/>
        <color rgb="FF1F487C"/>
        <rFont val="Times New Roman"/>
        <family val="1"/>
      </rPr>
      <t>the value of time per person-hour since that time. Both congestion and noise costs</t>
    </r>
  </si>
  <si>
    <r>
      <rPr>
        <sz val="11"/>
        <color rgb="FF1F487C"/>
        <rFont val="Times New Roman"/>
        <family val="1"/>
      </rPr>
      <t>are also adjusted from 1994 dollars to 2021 dollars using the GDP deflator.</t>
    </r>
  </si>
  <si>
    <t>Year of Estimate</t>
  </si>
  <si>
    <t xml:space="preserve">Year </t>
  </si>
  <si>
    <t>No-Build</t>
  </si>
  <si>
    <t>BUILD</t>
  </si>
  <si>
    <t>Maint &amp; Rehab Costs for US-75/81st</t>
  </si>
  <si>
    <t xml:space="preserve"> Capital Costs </t>
  </si>
  <si>
    <t xml:space="preserve"> Maintenance </t>
  </si>
  <si>
    <t>UT</t>
  </si>
  <si>
    <t>RW</t>
  </si>
  <si>
    <t xml:space="preserve"> TOTAL </t>
  </si>
  <si>
    <t>TOTAL</t>
  </si>
  <si>
    <t>Based on ODOT volume</t>
  </si>
  <si>
    <t>AADT Volume</t>
  </si>
  <si>
    <t>Annual Growth</t>
  </si>
  <si>
    <t>Delay Output Selected</t>
  </si>
  <si>
    <t>N of 81st</t>
  </si>
  <si>
    <t>OKDOT AADT N of 81</t>
  </si>
  <si>
    <t>27-Year Growth Factor</t>
  </si>
  <si>
    <t>Veh - Hours</t>
  </si>
  <si>
    <t>Yearly Linear Rate to achieve growth 27-year Growth Factor</t>
  </si>
  <si>
    <t>EXIST</t>
  </si>
  <si>
    <t>PROP</t>
  </si>
  <si>
    <t>BENEFIT</t>
  </si>
  <si>
    <t>Directional Hourly</t>
  </si>
  <si>
    <t>SYNCHRO Delay</t>
  </si>
  <si>
    <t>From Mike Spayd email 2/7/23</t>
  </si>
  <si>
    <t>VISSIM (total delay) - DDI+Olympia</t>
  </si>
  <si>
    <t>Arterial (81st Street)</t>
  </si>
  <si>
    <t>Growth Rate</t>
  </si>
  <si>
    <t>SYNCHRO (total delay)</t>
  </si>
  <si>
    <t>Based on Annual Growth</t>
  </si>
  <si>
    <t>5-Year Growth Factor</t>
  </si>
  <si>
    <t>Yearly Linear Rate to achieve growth 5-year Growth Factor</t>
  </si>
  <si>
    <t>VISSIM (total delay) - Just DDI</t>
  </si>
  <si>
    <t>23-Year Growth Factor</t>
  </si>
  <si>
    <t>Yearly Linear Rate to achieve growth 23-year Growth Factor</t>
  </si>
  <si>
    <t>Fuel Consumption (gal.)</t>
  </si>
  <si>
    <t>SYNCHRO</t>
  </si>
  <si>
    <t>28-Year Growth Factor</t>
  </si>
  <si>
    <t>Yearly Linear Rate to achieve growth 28-year Growth Factor</t>
  </si>
  <si>
    <t>CO</t>
  </si>
  <si>
    <t>NO x</t>
  </si>
  <si>
    <t>2023 Volume</t>
  </si>
  <si>
    <t>WB</t>
  </si>
  <si>
    <t>EB</t>
  </si>
  <si>
    <t>Combined</t>
  </si>
  <si>
    <t>2046 Volume</t>
  </si>
  <si>
    <t>From INCOG</t>
  </si>
  <si>
    <t>We installed the counter for two weeks on the southeast corner of Hwy 71 and 81st St. After reviewing the data, and factoring in the weather, we believe an accurate number of sidewalk users for this location is between 40 - 97 per day.  Eco counter cannot differentiate between transportation modes (pedestrian, bicyclists, scooters etc.), and so we refer to the counts as “sidewalk users”.</t>
  </si>
  <si>
    <t>Low</t>
  </si>
  <si>
    <t>High</t>
  </si>
  <si>
    <t>Avg</t>
  </si>
  <si>
    <t>https://www.census.gov/quickfacts/tulsacityoklahoma</t>
  </si>
  <si>
    <t>Population Start Year</t>
  </si>
  <si>
    <t>Population</t>
  </si>
  <si>
    <t>Population Finish Year</t>
  </si>
  <si>
    <t>Total Growth</t>
  </si>
  <si>
    <t xml:space="preserve">Crash Data at ramp terminals on 81st </t>
  </si>
  <si>
    <t>End Year</t>
  </si>
  <si>
    <t>Period</t>
  </si>
  <si>
    <t>Count</t>
  </si>
  <si>
    <t>Rate / year</t>
  </si>
  <si>
    <t>DDI Safety Study CMF Value</t>
  </si>
  <si>
    <t>GC#</t>
  </si>
  <si>
    <t>DATE INCIDENT</t>
  </si>
  <si>
    <t>DEFENDANT</t>
  </si>
  <si>
    <t>STRUCTURE/CONTRACT</t>
  </si>
  <si>
    <t>DAMAGE LOSS</t>
  </si>
  <si>
    <t>AMOUNT CLAIMED</t>
  </si>
  <si>
    <t>AMOUNT RECEIVED</t>
  </si>
  <si>
    <t>DATE CLOSED</t>
  </si>
  <si>
    <t>DIST #</t>
  </si>
  <si>
    <t>Project #</t>
  </si>
  <si>
    <t>Posted Clearance</t>
  </si>
  <si>
    <t>GCC-180</t>
  </si>
  <si>
    <t>Vaught Construction, Inc.</t>
  </si>
  <si>
    <t>Hwy 64 @ 129th W. Ave., Tulsa Co.</t>
  </si>
  <si>
    <t>Bridge (NBI 17277)</t>
  </si>
  <si>
    <t>SAP-272A(253)</t>
  </si>
  <si>
    <t>15' 0"</t>
  </si>
  <si>
    <t>GCC-181</t>
  </si>
  <si>
    <t>Blue White Trucking, Inc.</t>
  </si>
  <si>
    <t>I-40 EB @ Methodist Road, Canadian Co.</t>
  </si>
  <si>
    <t>Bridge (NBI 29923)</t>
  </si>
  <si>
    <t>SAP-4000(069)</t>
  </si>
  <si>
    <t>??</t>
  </si>
  <si>
    <t>GCC-191</t>
  </si>
  <si>
    <t>DD&amp;S Logistics, Inc.</t>
  </si>
  <si>
    <t>SH-20 @ CR Yale, Tulsa Co.</t>
  </si>
  <si>
    <t>Bridge (NBI 18076)</t>
  </si>
  <si>
    <t>SAP-014N(101)SS</t>
  </si>
  <si>
    <t>16' 2"</t>
  </si>
  <si>
    <t>GCC-211</t>
  </si>
  <si>
    <t>Gill's Waste Oil, LLC</t>
  </si>
  <si>
    <t xml:space="preserve">SH-49 @ I-44 W/B Off Ramp, Comanche Co. </t>
  </si>
  <si>
    <t>Bridge (NBI 15761)</t>
  </si>
  <si>
    <t>E-SAP-4400(049)_SS</t>
  </si>
  <si>
    <t>GCC-216</t>
  </si>
  <si>
    <t>JD Specialized Transport Co.</t>
  </si>
  <si>
    <t>State Hwy 3 @ State Hwy 1, Pontotoc Co.</t>
  </si>
  <si>
    <t>Bridge (NBI 29688)</t>
  </si>
  <si>
    <t>SAP-3500(075)SS</t>
  </si>
  <si>
    <t>16' 7"</t>
  </si>
  <si>
    <t>GCC-251</t>
  </si>
  <si>
    <t>Stone Trucking Company</t>
  </si>
  <si>
    <t>I-44 @ US-169, Tulsa Co.</t>
  </si>
  <si>
    <t>Bridge/Roadway (NBI 15855)</t>
  </si>
  <si>
    <t>E-SAP-4400(060)ES</t>
  </si>
  <si>
    <t>15' 8"</t>
  </si>
  <si>
    <t>GCC-253</t>
  </si>
  <si>
    <t>Big C's Towing</t>
  </si>
  <si>
    <t xml:space="preserve">US-271 @ County Rd., LeFlore Co. </t>
  </si>
  <si>
    <t>Bridge &amp; Concrete (NBI 10961)</t>
  </si>
  <si>
    <t>SAP-240C(078)ES</t>
  </si>
  <si>
    <t>14' 10"</t>
  </si>
  <si>
    <t>GCC-256</t>
  </si>
  <si>
    <t>Muzom Transportation</t>
  </si>
  <si>
    <t>I-35 NB @ S Edge US-77 (Bridge), Cleveland Co.</t>
  </si>
  <si>
    <t>Concrete Bridge Support (NBI 29220)</t>
  </si>
  <si>
    <t>SAP-214N(099)ES</t>
  </si>
  <si>
    <t>17' 3"</t>
  </si>
  <si>
    <t>GCC-259</t>
  </si>
  <si>
    <t>RK&amp;R Dozer Service LLC</t>
  </si>
  <si>
    <t>SH-51 EB @I-35 SB Payne Co.</t>
  </si>
  <si>
    <t>Bridge (NBI 28183)</t>
  </si>
  <si>
    <t>E-SAP-3500(088)ES</t>
  </si>
  <si>
    <t>16' 9"</t>
  </si>
  <si>
    <t xml:space="preserve"> </t>
  </si>
  <si>
    <t>GCC-273</t>
  </si>
  <si>
    <t>Garfield County</t>
  </si>
  <si>
    <t xml:space="preserve">5800 N. 4th @ SB HWY-81, Garfield Co. </t>
  </si>
  <si>
    <t>Bridge (NBI 30176)</t>
  </si>
  <si>
    <t>JP# 34665(04)</t>
  </si>
  <si>
    <t>16' 10"</t>
  </si>
  <si>
    <t>GCC-274</t>
  </si>
  <si>
    <t>TRS Services, Inc.</t>
  </si>
  <si>
    <t>I-40 @ Alfadale Rd. (43), Canadian Co.</t>
  </si>
  <si>
    <t>Bridge and Rail (NBI 16772)</t>
  </si>
  <si>
    <t>SAP-4000(101)ES</t>
  </si>
  <si>
    <t>15' 9"</t>
  </si>
  <si>
    <t>GCC-282</t>
  </si>
  <si>
    <t>Smithey Environmental Services</t>
  </si>
  <si>
    <t>I-244 EB / Main Street, Tulsa County, OK</t>
  </si>
  <si>
    <t>Bridge (NBI 18022)</t>
  </si>
  <si>
    <t>SAP-2440(029)</t>
  </si>
  <si>
    <t>13' 4"</t>
  </si>
  <si>
    <t>GCC-290</t>
  </si>
  <si>
    <t>GBT Roadlines, Inc.</t>
  </si>
  <si>
    <t>US-69 southbound at Redbud Lane, Bryan Co.</t>
  </si>
  <si>
    <t>Bridge (NBI 18578)</t>
  </si>
  <si>
    <t>SAP-013N(187)ES</t>
  </si>
  <si>
    <t>GCC-293</t>
  </si>
  <si>
    <t>A&amp;D Supply Company</t>
  </si>
  <si>
    <t>I-35 @ 12th Street, Moore, Cleveland Co.</t>
  </si>
  <si>
    <t>Bridge (NBI 17019)</t>
  </si>
  <si>
    <t>SAP-3500(109)ES</t>
  </si>
  <si>
    <t>GCC-297</t>
  </si>
  <si>
    <t>Earl Le Dozer, LLC</t>
  </si>
  <si>
    <t>US-412 (US-64) N. 65th over, Sand Springs, Tulsa Co.</t>
  </si>
  <si>
    <t>Bridge (NBI 18564)</t>
  </si>
  <si>
    <t>SAP-019N(147)ES</t>
  </si>
  <si>
    <t>14' 7"</t>
  </si>
  <si>
    <t>GCC-298</t>
  </si>
  <si>
    <t>C. Gull Tree Service</t>
  </si>
  <si>
    <t>N.W. 36th Street, I-44, Oklahoma City, Oklahoma Co.</t>
  </si>
  <si>
    <t>Bridge (NBI 18592)</t>
  </si>
  <si>
    <t>SAP-4400(088)ES</t>
  </si>
  <si>
    <t>16' 0"</t>
  </si>
  <si>
    <t>GCC-305</t>
  </si>
  <si>
    <t>Arkk Trucking</t>
  </si>
  <si>
    <t>I-44 Bridge over S. 33rd E. Avenue, Tulsa, Tulsa Co.</t>
  </si>
  <si>
    <t xml:space="preserve">Bridge </t>
  </si>
  <si>
    <t>NHPPI-4400(058)PM</t>
  </si>
  <si>
    <t>GCC-318</t>
  </si>
  <si>
    <t>Cleveland County</t>
  </si>
  <si>
    <t>SH-9 over US-77, Norman, Cleveland Co.</t>
  </si>
  <si>
    <t>Bridge (NBI 18072)</t>
  </si>
  <si>
    <t>SAP-214N(116)ES</t>
  </si>
  <si>
    <t>GCC-325</t>
  </si>
  <si>
    <t>GPEX Transport, Inc.</t>
  </si>
  <si>
    <t>I-35 at CR E205, Love Co.</t>
  </si>
  <si>
    <t>Bridge (NBI 16620)</t>
  </si>
  <si>
    <t>SAP-3500(127)ES</t>
  </si>
  <si>
    <t>GCC-326</t>
  </si>
  <si>
    <t>Vance Dotson Trucking</t>
  </si>
  <si>
    <t>I-44 near mm 2.5, Cotton Co.</t>
  </si>
  <si>
    <t>Bridge (NBI 15798)</t>
  </si>
  <si>
    <t>SAP-4400(098)ES</t>
  </si>
  <si>
    <t>GCC-335</t>
  </si>
  <si>
    <t>American Waste Control, Inc.</t>
  </si>
  <si>
    <t>US-75 over 41st St. Tulsa, Tulsa Co.</t>
  </si>
  <si>
    <t>Bridge (NBI 18311)</t>
  </si>
  <si>
    <t>SAP-014N(121)ES</t>
  </si>
  <si>
    <t>15' 2"</t>
  </si>
  <si>
    <t>GCC-337</t>
  </si>
  <si>
    <t>Hood Brand LLC</t>
  </si>
  <si>
    <t>New Haven Ave. over SH-11,  Tulsa, Tulsa Co.</t>
  </si>
  <si>
    <t>Bridge (NBI 22070)</t>
  </si>
  <si>
    <t>SAP-028N(006)ES</t>
  </si>
  <si>
    <t>16' 3"</t>
  </si>
  <si>
    <t>GCC-339</t>
  </si>
  <si>
    <t>Brixey Wasteworks, LLC</t>
  </si>
  <si>
    <t>US-69 Washington Ave. Bryan Co.</t>
  </si>
  <si>
    <t>Bridge (NBI 18081)</t>
  </si>
  <si>
    <t>E-SAP-013N(208)ES</t>
  </si>
  <si>
    <t>14' 6"</t>
  </si>
  <si>
    <t>GCC-343</t>
  </si>
  <si>
    <t>Becco Contractors, Inc.</t>
  </si>
  <si>
    <t>US-412/US-64 at 129th W Ave. Sand Springs, Tulsa Co.</t>
  </si>
  <si>
    <t>SAP-019N(153)ES</t>
  </si>
  <si>
    <t>GCC-352</t>
  </si>
  <si>
    <t>Big Iron Oilfield Services</t>
  </si>
  <si>
    <t>I-35 at Hereford Road, Carter Co.</t>
  </si>
  <si>
    <t>Bridge (NBI 17554)</t>
  </si>
  <si>
    <t>E-SAP-3500(141)ES</t>
  </si>
  <si>
    <t>16' 1"</t>
  </si>
  <si>
    <t>GCC-354</t>
  </si>
  <si>
    <t>MEI Contractors</t>
  </si>
  <si>
    <t>I-240 near S. Western, Oklahoma City, Oklahoma Co.</t>
  </si>
  <si>
    <t>Pedestrian Bridge (NBI 18117)</t>
  </si>
  <si>
    <t>E-SAP-2400(007)ES/</t>
  </si>
  <si>
    <t>GCC-375</t>
  </si>
  <si>
    <t>Wesley Byrd</t>
  </si>
  <si>
    <t>SH-51 over 145th/Aspen Ave., Tulsa, Tulsa Co.</t>
  </si>
  <si>
    <t>Bridge (NBI 27147)</t>
  </si>
  <si>
    <t>Bid set for April 2023</t>
  </si>
  <si>
    <t>16' 6"</t>
  </si>
  <si>
    <t>GCC-390</t>
  </si>
  <si>
    <t>Shoevaldoc Construction</t>
  </si>
  <si>
    <t>I-35 over SH-39, mm 92 near Purcell, McLain Co.</t>
  </si>
  <si>
    <t>Bridge (NBI 17207, 17208)</t>
  </si>
  <si>
    <t>BRIDGE HITS</t>
  </si>
  <si>
    <t>Total Damage</t>
  </si>
  <si>
    <t>Count of Bridge Hits with Damage</t>
  </si>
  <si>
    <t>Average Damage per Bridge Hit</t>
  </si>
  <si>
    <t>https://apps.bea.gov/iTable/?reqid=19&amp;step=3&amp;isuri=1&amp;1921=survey&amp;1903=11%23reqid%3D19&amp;step=3&amp;isuri=1&amp;1921=survey&amp;1903=11#eyJhcHBpZCI6MTksInN0ZXBzIjpbMSwyLDNdLCJkYXRhIjpbWyJOSVBBX1RhYmxlX0xpc3QiLCI1Il0sWyJDYXRlZ29yaWVzIiwiU3VydmV5Il1dfQ==</t>
  </si>
  <si>
    <t>GDP</t>
  </si>
  <si>
    <t>Factor</t>
  </si>
  <si>
    <t>N/A - Define in BCA Guidelines</t>
  </si>
  <si>
    <t>ref2022.d011222a</t>
  </si>
  <si>
    <t>Source: EIA Energy Outlook 2022, March 2022</t>
  </si>
  <si>
    <t>Table 12.</t>
  </si>
  <si>
    <t>Report</t>
  </si>
  <si>
    <t>Annual Energy Outlook 2022</t>
  </si>
  <si>
    <t>EIA - Annual Energy Outlook 2022</t>
  </si>
  <si>
    <t>Scenario</t>
  </si>
  <si>
    <t>ref2022</t>
  </si>
  <si>
    <t>Reference</t>
  </si>
  <si>
    <t>Datekey</t>
  </si>
  <si>
    <t>d011222a</t>
  </si>
  <si>
    <t>Release Date</t>
  </si>
  <si>
    <t xml:space="preserve"> March 2022</t>
  </si>
  <si>
    <t>PPP000</t>
  </si>
  <si>
    <t>12. Petroleum and Other Liquids Prices</t>
  </si>
  <si>
    <t>Average</t>
  </si>
  <si>
    <t>(2021 dollars per gallon, unless otherwise noted)</t>
  </si>
  <si>
    <t>Annual</t>
  </si>
  <si>
    <t>Change</t>
  </si>
  <si>
    <t xml:space="preserve"> Sector and Fuel</t>
  </si>
  <si>
    <t>2021–2050</t>
  </si>
  <si>
    <t>Crude Oil Prices (2021 dollars per barrel)</t>
  </si>
  <si>
    <t>PPP000:ba_WorldOilPrice</t>
  </si>
  <si>
    <t xml:space="preserve">   Brent Spot</t>
  </si>
  <si>
    <t>PPP000:bb_ForeignLSLigh</t>
  </si>
  <si>
    <t xml:space="preserve">   West Texas Intermediate Spot</t>
  </si>
  <si>
    <t>PPP000:bb_Imported_Real</t>
  </si>
  <si>
    <t xml:space="preserve">   Average Imported Cost 1/</t>
  </si>
  <si>
    <t>PPP000:see_spot_markup</t>
  </si>
  <si>
    <t xml:space="preserve">   Brent / West Texas Intermediate Spread</t>
  </si>
  <si>
    <t xml:space="preserve"> Delivered Sector Product Prices</t>
  </si>
  <si>
    <t xml:space="preserve"> Residential</t>
  </si>
  <si>
    <t>PPP000:da_LiquefiedPetr</t>
  </si>
  <si>
    <t xml:space="preserve">   Propane</t>
  </si>
  <si>
    <t>PPP000:da_DistillateFue</t>
  </si>
  <si>
    <t xml:space="preserve">   Distillate Fuel Oil</t>
  </si>
  <si>
    <t xml:space="preserve"> Commercial</t>
  </si>
  <si>
    <t>PPP000:ea_DistillateFue</t>
  </si>
  <si>
    <t>PPP000:ea_ResidualFuel</t>
  </si>
  <si>
    <t xml:space="preserve">   Residual Fuel Oil</t>
  </si>
  <si>
    <t>PPP000:ea_ResidualFuel(</t>
  </si>
  <si>
    <t xml:space="preserve">   Residual Fuel Oil (2021 dollars per barrel)</t>
  </si>
  <si>
    <t xml:space="preserve"> Industrial 2/</t>
  </si>
  <si>
    <t>PPP000:fa_LiquefiedPetr</t>
  </si>
  <si>
    <t>PPP000:fa_DistillateFue</t>
  </si>
  <si>
    <t>PPP000:fa_ResidualFuel</t>
  </si>
  <si>
    <t>PPP000:fa_ResidualFuel(</t>
  </si>
  <si>
    <t xml:space="preserve"> Transportation</t>
  </si>
  <si>
    <t>PPP000:ga_LiquefiedPetr</t>
  </si>
  <si>
    <t>PPP000:ga_Ethanol(E85)</t>
  </si>
  <si>
    <t xml:space="preserve">   E85 3/</t>
  </si>
  <si>
    <t>PPP000:pr_EthanolWhole</t>
  </si>
  <si>
    <t xml:space="preserve">   Ethanol Wholesale Price</t>
  </si>
  <si>
    <t>PPP000:ga_MotorGasoline</t>
  </si>
  <si>
    <t xml:space="preserve">   Motor Gasoline 4/</t>
  </si>
  <si>
    <t>PPP000:ga_JetFuel</t>
  </si>
  <si>
    <t xml:space="preserve">   Jet Fuel 5/</t>
  </si>
  <si>
    <t>PPP000:ga_DieselFuel(Di</t>
  </si>
  <si>
    <t xml:space="preserve">   Diesel Fuel (distillate fuel oil) 6/</t>
  </si>
  <si>
    <t>PPP000:ga_ResidualFuel</t>
  </si>
  <si>
    <t>PPP000:ga_ResidualFuel(</t>
  </si>
  <si>
    <t xml:space="preserve"> Electric Power 7/</t>
  </si>
  <si>
    <t>PPP000:ha_DistillateFue</t>
  </si>
  <si>
    <t>PPP000:ha_ResidualFuel</t>
  </si>
  <si>
    <t>PPP000:ha_ResidualFuel(</t>
  </si>
  <si>
    <t>Average Prices, All Sectors 8/</t>
  </si>
  <si>
    <t>PPP000:ia_LiquefiedPetr</t>
  </si>
  <si>
    <t>PPP000:ia_MotorGasoline</t>
  </si>
  <si>
    <t>PPP000:ia_JetFuel</t>
  </si>
  <si>
    <t>PPP000:ia_DistillateFue</t>
  </si>
  <si>
    <t>PPP000:ia_ResidualFuel</t>
  </si>
  <si>
    <t>PPP000:ia_ResidualFuel(</t>
  </si>
  <si>
    <t>PPP000:ia_Average</t>
  </si>
  <si>
    <t xml:space="preserve">     Average</t>
  </si>
  <si>
    <t>Prices in Nominal Dollars</t>
  </si>
  <si>
    <t>Crude Oil Spot Prices (nominal dollars per barrel)</t>
  </si>
  <si>
    <t>PPP000:nom_WorldOilPric</t>
  </si>
  <si>
    <t>PPP000:nom_ForeignLSLig</t>
  </si>
  <si>
    <t>PPP000:nom_Imported_Rea</t>
  </si>
  <si>
    <t>Delivered Sector Product Prices</t>
  </si>
  <si>
    <t>Nominal Dollars per Gallon</t>
  </si>
  <si>
    <t>PPP000:nom_R_LiquefiedP</t>
  </si>
  <si>
    <t>PPP000:nom_R_Distillate</t>
  </si>
  <si>
    <t>PPP000:nom_C_Distillate</t>
  </si>
  <si>
    <t>PPP000:nom_C_ResidualFu</t>
  </si>
  <si>
    <t>PPP000:nom_I_LiquefiedP</t>
  </si>
  <si>
    <t>PPP000:nom_I_Distillate</t>
  </si>
  <si>
    <t>PPP000:nom_I_ResidualFu</t>
  </si>
  <si>
    <t>PPP000:nom_T_LiquefiedP</t>
  </si>
  <si>
    <t>PPP000:nom_T_Ethan(E85)</t>
  </si>
  <si>
    <t>PPP000:nom_T_EthanWhole</t>
  </si>
  <si>
    <t>PPP000:nom_T_MotorGasol</t>
  </si>
  <si>
    <t>PPP000:nom_T_JetFuel</t>
  </si>
  <si>
    <t>PPP000:nom_T_DieselFuel</t>
  </si>
  <si>
    <t>PPP000:nom_T_ResidualFu</t>
  </si>
  <si>
    <t>PPP000:nom_E_Distillate</t>
  </si>
  <si>
    <t>PPP000:nom_E_ResidualFu</t>
  </si>
  <si>
    <t xml:space="preserve"> Average Prices, All Sectors 8/</t>
  </si>
  <si>
    <t>PPP000:nom_Avg_Liquefie</t>
  </si>
  <si>
    <t>PPP000:nom_Avg_MotorGas</t>
  </si>
  <si>
    <t>PPP000:nom_Avg_JetFuel</t>
  </si>
  <si>
    <t>PPP000:nom_Avg_Distilla</t>
  </si>
  <si>
    <t>PPP000:nom_Avg_Residual</t>
  </si>
  <si>
    <t xml:space="preserve">   Residual Fuel Oil (dollars per barrel)</t>
  </si>
  <si>
    <t>PPP000:nom_Avg_Average</t>
  </si>
  <si>
    <t>1/ Weighted average price delivered to U.S. refiners.</t>
  </si>
  <si>
    <t>2/ Includes combined heat and power plants that have a non-regulatory status, and small on-site generating systems.</t>
  </si>
  <si>
    <t>3/ E85 refers to a blend of 85 % ethanol (renewable) and 15 % motor gasoline (nonrenewable).  To address cold starting</t>
  </si>
  <si>
    <t>issues, the percentage of ethanol varies seasonally.  The annual average ethanol content of 74 percent is used for these projections.</t>
  </si>
  <si>
    <t>4/ Sales weighted-average price for all grades.  Includes Federal, State, and local taxes.</t>
  </si>
  <si>
    <t>5/ Includes only kerosene type.</t>
  </si>
  <si>
    <t>6/ Diesel fuel for on-road use.  Includes Federal and State taxes while excluding county and local taxes.</t>
  </si>
  <si>
    <t>7/ Includes electricity-only and combined heat and power plants that have a regulatory status.</t>
  </si>
  <si>
    <t>8/ Weighted averages of end-use fuel prices are derived from the prices in each sector and the corresponding sectoral consumption.</t>
  </si>
  <si>
    <t>Sources:  2021:  U.S. Energy Information Administration (EIA), Short-Term Energy Outlook, November 2021 and EIA,</t>
  </si>
  <si>
    <t>Projections:  EIA, AEO2022 National Energy Modeling System run ref2022.d011222a.</t>
  </si>
  <si>
    <t>Rate of Growth</t>
  </si>
  <si>
    <t xml:space="preserve">   Motor Gasoline </t>
  </si>
  <si>
    <t xml:space="preserve">   Diesel Fuel (distillate fuel oil)</t>
  </si>
  <si>
    <t>Fuel Taxes in Oklahoma, $/Galon</t>
  </si>
  <si>
    <t>Fuel</t>
  </si>
  <si>
    <t>State</t>
  </si>
  <si>
    <t>Federal</t>
  </si>
  <si>
    <t>Adjusted Fuel Prices (without taxes)</t>
  </si>
  <si>
    <t xml:space="preserve">Current Pedestrian Path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</si>
</sst>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_);[Red]\(&quot;$&quot;#,##0\)"/>
    <numFmt numFmtId="8" formatCode="&quot;$&quot;#,##0.00_);[Red]\(&quot;$&quot;#,##0.00\)"/>
    <numFmt numFmtId="44" formatCode="_(&quot;$&quot;* #,##0.00_);_(&quot;$&quot;* \(#,##0.00\);_(&quot;$&quot;* &quot;-&quot;??_);_(@_)"/>
    <numFmt numFmtId="43" formatCode="_(* #,##0.00_);_(* \(#,##0.00\);_(* &quot;-&quot;??_);_(@_)"/>
    <numFmt numFmtId="164" formatCode="0.0000"/>
    <numFmt numFmtId="165" formatCode="_(&quot;$&quot;* #,##0_);_(&quot;$&quot;* \(#,##0\);_(&quot;$&quot;* &quot;-&quot;??_);_(@_)"/>
    <numFmt numFmtId="166" formatCode="\$#,##0"/>
    <numFmt numFmtId="167" formatCode="\$0.00"/>
    <numFmt numFmtId="168" formatCode="\$0"/>
    <numFmt numFmtId="169" formatCode="0.0"/>
    <numFmt numFmtId="170" formatCode="_(* #,##0_);_(* \(#,##0\);_(* &quot;-&quot;??_);_(@_)"/>
    <numFmt numFmtId="171" formatCode="&quot;$&quot;#,##0.00"/>
    <numFmt numFmtId="172" formatCode="0.0%"/>
    <numFmt numFmtId="173" formatCode="0.0000000%"/>
    <numFmt numFmtId="174" formatCode="_(* #,##0.0_);_(* \(#,##0.0\);_(* &quot;-&quot;??_);_(@_)"/>
    <numFmt numFmtId="175" formatCode="_(* #,##0.000_);_(* \(#,##0.000\);_(* &quot;-&quot;??_);_(@_)"/>
    <numFmt numFmtId="176" formatCode="0.000%"/>
    <numFmt numFmtId="177" formatCode="&quot;$&quot;#,##0.000"/>
    <numFmt numFmtId="178" formatCode="&quot;$&quot;#,##0"/>
    <numFmt numFmtId="179" formatCode="_(&quot;$&quot;* #,##0.0_);_(&quot;$&quot;* \(#,##0.0\);_(&quot;$&quot;* &quot;-&quot;??_);_(@_)"/>
  </numFmts>
  <fonts count="78">
    <font>
      <sz val="11"/>
      <color theme="1"/>
      <name val="Calibri"/>
      <family val="2"/>
      <scheme val="minor"/>
    </font>
    <font>
      <sz val="11"/>
      <color theme="1"/>
      <name val="Calibri"/>
      <family val="2"/>
      <scheme val="minor"/>
    </font>
    <font>
      <b/>
      <sz val="15"/>
      <color theme="3"/>
      <name val="Calibri"/>
      <family val="2"/>
      <scheme val="minor"/>
    </font>
    <font>
      <sz val="11"/>
      <color theme="1"/>
      <name val="Arial"/>
      <family val="2"/>
    </font>
    <font>
      <b/>
      <sz val="11"/>
      <color theme="1"/>
      <name val="Arial"/>
      <family val="2"/>
    </font>
    <font>
      <sz val="11"/>
      <color theme="4"/>
      <name val="Arial"/>
      <family val="2"/>
    </font>
    <font>
      <b/>
      <sz val="15"/>
      <color theme="9"/>
      <name val="Arial"/>
      <family val="2"/>
    </font>
    <font>
      <b/>
      <sz val="15"/>
      <color theme="4"/>
      <name val="Arial"/>
      <family val="2"/>
    </font>
    <font>
      <sz val="11"/>
      <color theme="6"/>
      <name val="Arial"/>
      <family val="2"/>
    </font>
    <font>
      <sz val="11"/>
      <name val="Arial"/>
      <family val="2"/>
    </font>
    <font>
      <u/>
      <sz val="11"/>
      <color theme="10"/>
      <name val="Calibri"/>
      <family val="2"/>
      <scheme val="minor"/>
    </font>
    <font>
      <sz val="10"/>
      <color rgb="FF000000"/>
      <name val="Times New Roman"/>
      <family val="1"/>
    </font>
    <font>
      <b/>
      <sz val="11.5"/>
      <color rgb="FFFFFFFF"/>
      <name val="Times New Roman"/>
      <family val="1"/>
    </font>
    <font>
      <b/>
      <sz val="11"/>
      <name val="Times New Roman"/>
      <family val="1"/>
    </font>
    <font>
      <sz val="11"/>
      <name val="Times New Roman"/>
      <family val="1"/>
    </font>
    <font>
      <i/>
      <sz val="11"/>
      <name val="Times New Roman"/>
      <family val="1"/>
    </font>
    <font>
      <sz val="8"/>
      <name val="Calibri"/>
      <family val="2"/>
      <scheme val="minor"/>
    </font>
    <font>
      <b/>
      <sz val="11"/>
      <color theme="0"/>
      <name val="Calibri"/>
      <family val="2"/>
      <scheme val="minor"/>
    </font>
    <font>
      <b/>
      <sz val="11"/>
      <color theme="1"/>
      <name val="Calibri"/>
      <family val="2"/>
      <scheme val="minor"/>
    </font>
    <font>
      <i/>
      <sz val="11"/>
      <color theme="1"/>
      <name val="Arial"/>
      <family val="2"/>
    </font>
    <font>
      <i/>
      <sz val="11"/>
      <color theme="6"/>
      <name val="Arial"/>
      <family val="2"/>
    </font>
    <font>
      <i/>
      <sz val="11"/>
      <color theme="1"/>
      <name val="Calibri"/>
      <family val="2"/>
      <scheme val="minor"/>
    </font>
    <font>
      <b/>
      <i/>
      <sz val="11"/>
      <color theme="1"/>
      <name val="Arial"/>
      <family val="2"/>
    </font>
    <font>
      <sz val="11"/>
      <color rgb="FF000000"/>
      <name val="Calibri"/>
      <family val="2"/>
    </font>
    <font>
      <sz val="10"/>
      <color rgb="FF000000"/>
      <name val="Times New Roman"/>
      <family val="1"/>
    </font>
    <font>
      <sz val="11"/>
      <color rgb="FF1F487C"/>
      <name val="Times New Roman"/>
      <family val="1"/>
    </font>
    <font>
      <sz val="11"/>
      <color rgb="FF1F487C"/>
      <name val="Times New Roman"/>
      <family val="2"/>
    </font>
    <font>
      <b/>
      <sz val="11"/>
      <color rgb="FF1F487C"/>
      <name val="Times New Roman"/>
      <family val="1"/>
    </font>
    <font>
      <b/>
      <vertAlign val="superscript"/>
      <sz val="11"/>
      <color rgb="FF1F487C"/>
      <name val="Times New Roman"/>
      <family val="1"/>
    </font>
    <font>
      <u/>
      <sz val="11"/>
      <color rgb="FF0000FF"/>
      <name val="Times New Roman"/>
      <family val="1"/>
    </font>
    <font>
      <sz val="11"/>
      <color rgb="FF0000FF"/>
      <name val="Times New Roman"/>
      <family val="1"/>
    </font>
    <font>
      <b/>
      <sz val="11.5"/>
      <name val="Times New Roman"/>
      <family val="1"/>
    </font>
    <font>
      <vertAlign val="superscript"/>
      <sz val="11"/>
      <color rgb="FF1F487C"/>
      <name val="Times New Roman"/>
      <family val="1"/>
    </font>
    <font>
      <i/>
      <sz val="11"/>
      <name val="Cambria"/>
      <family val="1"/>
    </font>
    <font>
      <i/>
      <u/>
      <sz val="11"/>
      <color rgb="FF0000FF"/>
      <name val="Times New Roman"/>
      <family val="1"/>
    </font>
    <font>
      <sz val="7"/>
      <color rgb="FF1F487C"/>
      <name val="Times New Roman"/>
      <family val="1"/>
    </font>
    <font>
      <b/>
      <sz val="7"/>
      <color rgb="FF1F487C"/>
      <name val="Times New Roman"/>
      <family val="1"/>
    </font>
    <font>
      <vertAlign val="superscript"/>
      <sz val="11"/>
      <name val="Times New Roman"/>
      <family val="1"/>
    </font>
    <font>
      <sz val="7"/>
      <name val="Times New Roman"/>
      <family val="1"/>
    </font>
    <font>
      <b/>
      <i/>
      <sz val="11"/>
      <name val="Cambria"/>
      <family val="1"/>
    </font>
    <font>
      <b/>
      <i/>
      <sz val="11"/>
      <color rgb="FF4F81BC"/>
      <name val="Cambria"/>
      <family val="1"/>
    </font>
    <font>
      <b/>
      <sz val="11"/>
      <color rgb="FFFFFFFF"/>
      <name val="Calibri"/>
      <family val="2"/>
    </font>
    <font>
      <sz val="11"/>
      <color rgb="FFFFFFFF"/>
      <name val="Arial Black"/>
      <family val="2"/>
    </font>
    <font>
      <b/>
      <sz val="11"/>
      <color rgb="FFFFFFFF"/>
      <name val="Arial Black"/>
      <family val="2"/>
    </font>
    <font>
      <sz val="11"/>
      <color theme="1"/>
      <name val="Calibri"/>
      <family val="2"/>
    </font>
    <font>
      <sz val="11"/>
      <color rgb="FF808080"/>
      <name val="Calibri"/>
      <family val="2"/>
    </font>
    <font>
      <b/>
      <sz val="12"/>
      <color rgb="FF000000"/>
      <name val="Calibri"/>
      <family val="2"/>
    </font>
    <font>
      <b/>
      <sz val="12"/>
      <color theme="1"/>
      <name val="Calibri"/>
      <family val="2"/>
    </font>
    <font>
      <b/>
      <sz val="13"/>
      <color theme="3"/>
      <name val="Calibri"/>
      <family val="2"/>
      <scheme val="minor"/>
    </font>
    <font>
      <b/>
      <i/>
      <sz val="10"/>
      <color theme="1"/>
      <name val="Calibri"/>
      <family val="2"/>
      <scheme val="minor"/>
    </font>
    <font>
      <b/>
      <i/>
      <sz val="11"/>
      <color theme="1"/>
      <name val="Calibri"/>
      <family val="2"/>
      <scheme val="minor"/>
    </font>
    <font>
      <b/>
      <sz val="10"/>
      <color theme="1"/>
      <name val="Calibri"/>
      <family val="2"/>
      <scheme val="minor"/>
    </font>
    <font>
      <b/>
      <sz val="9"/>
      <name val="Calibri"/>
      <family val="2"/>
      <scheme val="minor"/>
    </font>
    <font>
      <sz val="11"/>
      <color rgb="FF000000"/>
      <name val="Calibri"/>
      <family val="2"/>
      <scheme val="minor"/>
    </font>
    <font>
      <b/>
      <sz val="11"/>
      <color rgb="FF000000"/>
      <name val="Calibri"/>
      <family val="2"/>
    </font>
    <font>
      <b/>
      <sz val="11"/>
      <color theme="6"/>
      <name val="Arial"/>
      <family val="2"/>
    </font>
    <font>
      <sz val="10"/>
      <name val="Arial"/>
      <family val="2"/>
    </font>
    <font>
      <b/>
      <sz val="10"/>
      <name val="Arial"/>
      <family val="2"/>
    </font>
    <font>
      <sz val="10"/>
      <color rgb="FFFF0000"/>
      <name val="Arial"/>
      <family val="2"/>
    </font>
    <font>
      <sz val="9"/>
      <color indexed="8"/>
      <name val="Calibri"/>
      <family val="2"/>
    </font>
    <font>
      <b/>
      <sz val="9"/>
      <color indexed="8"/>
      <name val="Calibri"/>
      <family val="2"/>
    </font>
    <font>
      <sz val="10"/>
      <color indexed="8"/>
      <name val="Arial"/>
      <family val="2"/>
    </font>
    <font>
      <sz val="8"/>
      <name val="Arial"/>
      <family val="2"/>
    </font>
    <font>
      <b/>
      <sz val="12"/>
      <color indexed="30"/>
      <name val="Calibri"/>
      <family val="2"/>
    </font>
    <font>
      <b/>
      <sz val="9"/>
      <name val="Calibri"/>
      <family val="2"/>
    </font>
    <font>
      <sz val="9"/>
      <name val="Calibri"/>
      <family val="2"/>
    </font>
    <font>
      <b/>
      <sz val="14"/>
      <color theme="1"/>
      <name val="Arial"/>
      <family val="2"/>
    </font>
    <font>
      <b/>
      <sz val="15"/>
      <color rgb="FFFFC000"/>
      <name val="Arial"/>
      <family val="2"/>
    </font>
    <font>
      <b/>
      <sz val="20"/>
      <color theme="1"/>
      <name val="Calibri"/>
      <family val="2"/>
      <scheme val="minor"/>
    </font>
    <font>
      <b/>
      <sz val="15"/>
      <color theme="8"/>
      <name val="Arial"/>
      <family val="2"/>
    </font>
    <font>
      <sz val="11"/>
      <color theme="0"/>
      <name val="Arial"/>
      <family val="2"/>
    </font>
    <font>
      <b/>
      <sz val="11"/>
      <color theme="0"/>
      <name val="Times New Roman"/>
      <family val="1"/>
    </font>
    <font>
      <sz val="11"/>
      <color theme="1"/>
      <name val="Times New Roman"/>
      <family val="1"/>
    </font>
    <font>
      <b/>
      <i/>
      <sz val="11"/>
      <color theme="1"/>
      <name val="Times New Roman"/>
      <family val="1"/>
    </font>
    <font>
      <i/>
      <sz val="11"/>
      <color theme="4"/>
      <name val="Arial"/>
      <family val="2"/>
    </font>
    <font>
      <sz val="11"/>
      <color rgb="FF000000"/>
      <name val="Times New Roman"/>
      <family val="1"/>
    </font>
    <font>
      <b/>
      <sz val="11"/>
      <color theme="1"/>
      <name val="Times New Roman"/>
      <family val="1"/>
    </font>
    <font>
      <vertAlign val="subscript"/>
      <sz val="11"/>
      <color theme="1"/>
      <name val="Times New Roman"/>
      <family val="1"/>
    </font>
  </fonts>
  <fills count="19">
    <fill>
      <patternFill patternType="none"/>
    </fill>
    <fill>
      <patternFill patternType="gray125"/>
    </fill>
    <fill>
      <patternFill patternType="solid">
        <fgColor theme="4" tint="0.79998168889431442"/>
        <bgColor indexed="65"/>
      </patternFill>
    </fill>
    <fill>
      <patternFill patternType="solid">
        <fgColor theme="4"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1F1F1"/>
      </patternFill>
    </fill>
    <fill>
      <patternFill patternType="solid">
        <fgColor rgb="FF1F487C"/>
      </patternFill>
    </fill>
    <fill>
      <patternFill patternType="solid">
        <fgColor rgb="FF2F75B5"/>
        <bgColor indexed="64"/>
      </patternFill>
    </fill>
    <fill>
      <patternFill patternType="solid">
        <fgColor rgb="FF00B0F0"/>
        <bgColor indexed="64"/>
      </patternFill>
    </fill>
    <fill>
      <patternFill patternType="solid">
        <fgColor theme="1"/>
        <bgColor indexed="64"/>
      </patternFill>
    </fill>
    <fill>
      <patternFill patternType="solid">
        <fgColor rgb="FF92D050"/>
        <bgColor indexed="64"/>
      </patternFill>
    </fill>
    <fill>
      <patternFill patternType="solid">
        <fgColor theme="0" tint="-0.249977111117893"/>
        <bgColor indexed="64"/>
      </patternFill>
    </fill>
    <fill>
      <patternFill patternType="solid">
        <fgColor theme="0"/>
        <bgColor indexed="64"/>
      </patternFill>
    </fill>
    <fill>
      <patternFill patternType="solid">
        <fgColor theme="7" tint="0.79998168889431442"/>
        <bgColor indexed="64"/>
      </patternFill>
    </fill>
    <fill>
      <patternFill patternType="solid">
        <fgColor theme="8"/>
        <bgColor indexed="64"/>
      </patternFill>
    </fill>
    <fill>
      <patternFill patternType="solid">
        <fgColor theme="4"/>
        <bgColor theme="4"/>
      </patternFill>
    </fill>
    <fill>
      <patternFill patternType="solid">
        <fgColor theme="4"/>
        <bgColor indexed="64"/>
      </patternFill>
    </fill>
  </fills>
  <borders count="79">
    <border>
      <left/>
      <right/>
      <top/>
      <bottom/>
      <diagonal/>
    </border>
    <border>
      <left/>
      <right/>
      <top/>
      <bottom style="thick">
        <color theme="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right style="medium">
        <color indexed="64"/>
      </right>
      <top/>
      <bottom/>
      <diagonal/>
    </border>
    <border>
      <left style="medium">
        <color indexed="64"/>
      </left>
      <right/>
      <top/>
      <bottom style="medium">
        <color indexed="64"/>
      </bottom>
      <diagonal/>
    </border>
    <border>
      <left style="medium">
        <color indexed="64"/>
      </left>
      <right/>
      <top/>
      <bottom/>
      <diagonal/>
    </border>
    <border>
      <left/>
      <right/>
      <top/>
      <bottom style="thick">
        <color theme="4" tint="0.499984740745262"/>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top/>
      <bottom style="thick">
        <color rgb="FF0096D7"/>
      </bottom>
      <diagonal/>
    </border>
    <border>
      <left/>
      <right/>
      <top/>
      <bottom style="thin">
        <color rgb="FFBFBFBF"/>
      </bottom>
      <diagonal/>
    </border>
    <border>
      <left/>
      <right/>
      <top/>
      <bottom style="dashed">
        <color rgb="FFBFBFBF"/>
      </bottom>
      <diagonal/>
    </border>
    <border>
      <left/>
      <right/>
      <top style="medium">
        <color rgb="FF0096D7"/>
      </top>
      <bottom/>
      <diagonal/>
    </border>
    <border>
      <left style="medium">
        <color indexed="64"/>
      </left>
      <right/>
      <top/>
      <bottom style="dashed">
        <color rgb="FFBFBFBF"/>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theme="4"/>
      </top>
      <bottom/>
      <diagonal/>
    </border>
    <border>
      <left style="thin">
        <color theme="4"/>
      </left>
      <right/>
      <top style="thin">
        <color theme="4"/>
      </top>
      <bottom/>
      <diagonal/>
    </border>
    <border>
      <left/>
      <right style="thin">
        <color theme="4"/>
      </right>
      <top style="thin">
        <color theme="4"/>
      </top>
      <bottom/>
      <diagonal/>
    </border>
    <border>
      <left/>
      <right/>
      <top style="thin">
        <color indexed="64"/>
      </top>
      <bottom style="thin">
        <color indexed="64"/>
      </bottom>
      <diagonal/>
    </border>
  </borders>
  <cellStyleXfs count="20">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1" applyNumberFormat="0" applyFill="0" applyAlignment="0" applyProtection="0"/>
    <xf numFmtId="0" fontId="1" fillId="2" borderId="0" applyNumberFormat="0" applyBorder="0" applyAlignment="0" applyProtection="0"/>
    <xf numFmtId="0" fontId="10" fillId="0" borderId="0" applyNumberFormat="0" applyFill="0" applyBorder="0" applyAlignment="0" applyProtection="0"/>
    <xf numFmtId="0" fontId="11" fillId="0" borderId="0"/>
    <xf numFmtId="9" fontId="1" fillId="0" borderId="0" applyFont="0" applyFill="0" applyBorder="0" applyAlignment="0" applyProtection="0"/>
    <xf numFmtId="0" fontId="24" fillId="0" borderId="0"/>
    <xf numFmtId="0" fontId="48" fillId="0" borderId="47" applyNumberFormat="0" applyFill="0" applyAlignment="0" applyProtection="0"/>
    <xf numFmtId="0" fontId="1" fillId="0" borderId="0"/>
    <xf numFmtId="9" fontId="11" fillId="0" borderId="0" applyFont="0" applyFill="0" applyBorder="0" applyAlignment="0" applyProtection="0"/>
    <xf numFmtId="9" fontId="1" fillId="0" borderId="0" applyFont="0" applyFill="0" applyBorder="0" applyAlignment="0" applyProtection="0"/>
    <xf numFmtId="0" fontId="56" fillId="0" borderId="0"/>
    <xf numFmtId="0" fontId="59" fillId="0" borderId="0"/>
    <xf numFmtId="0" fontId="60" fillId="0" borderId="64">
      <alignment wrapText="1"/>
    </xf>
    <xf numFmtId="0" fontId="63" fillId="0" borderId="0">
      <alignment horizontal="left"/>
    </xf>
    <xf numFmtId="0" fontId="60" fillId="0" borderId="65">
      <alignment wrapText="1"/>
    </xf>
    <xf numFmtId="0" fontId="59" fillId="0" borderId="66">
      <alignment wrapText="1"/>
    </xf>
    <xf numFmtId="0" fontId="59" fillId="0" borderId="67">
      <alignment wrapText="1"/>
    </xf>
  </cellStyleXfs>
  <cellXfs count="627">
    <xf numFmtId="0" fontId="0" fillId="0" borderId="0" xfId="0"/>
    <xf numFmtId="0" fontId="3" fillId="0" borderId="0" xfId="0" applyFont="1"/>
    <xf numFmtId="0" fontId="4" fillId="0" borderId="0" xfId="0" applyFont="1"/>
    <xf numFmtId="164" fontId="3" fillId="0" borderId="0" xfId="0" applyNumberFormat="1" applyFont="1"/>
    <xf numFmtId="2" fontId="3" fillId="0" borderId="0" xfId="0" applyNumberFormat="1" applyFont="1"/>
    <xf numFmtId="165" fontId="3" fillId="0" borderId="0" xfId="2" applyNumberFormat="1" applyFont="1"/>
    <xf numFmtId="165" fontId="3" fillId="0" borderId="0" xfId="0" applyNumberFormat="1" applyFont="1"/>
    <xf numFmtId="0" fontId="6" fillId="0" borderId="0" xfId="3" applyFont="1" applyBorder="1"/>
    <xf numFmtId="0" fontId="3" fillId="4" borderId="0" xfId="4" applyFont="1" applyFill="1"/>
    <xf numFmtId="0" fontId="3" fillId="4" borderId="0" xfId="0" applyFont="1" applyFill="1"/>
    <xf numFmtId="0" fontId="5" fillId="3" borderId="0" xfId="0" applyFont="1" applyFill="1"/>
    <xf numFmtId="0" fontId="7" fillId="0" borderId="0" xfId="3" applyFont="1" applyBorder="1"/>
    <xf numFmtId="0" fontId="8" fillId="0" borderId="0" xfId="0" applyFont="1"/>
    <xf numFmtId="0" fontId="8" fillId="4" borderId="0" xfId="0" applyFont="1" applyFill="1"/>
    <xf numFmtId="0" fontId="9" fillId="0" borderId="0" xfId="0" applyFont="1"/>
    <xf numFmtId="0" fontId="11" fillId="0" borderId="0" xfId="6" applyAlignment="1">
      <alignment horizontal="left" vertical="top"/>
    </xf>
    <xf numFmtId="0" fontId="10" fillId="0" borderId="0" xfId="5" applyAlignment="1">
      <alignment horizontal="left" vertical="top"/>
    </xf>
    <xf numFmtId="0" fontId="11" fillId="0" borderId="0" xfId="6" applyAlignment="1">
      <alignment horizontal="right" vertical="top"/>
    </xf>
    <xf numFmtId="43" fontId="3" fillId="0" borderId="0" xfId="1" applyFont="1"/>
    <xf numFmtId="170" fontId="3" fillId="0" borderId="0" xfId="1" applyNumberFormat="1" applyFont="1"/>
    <xf numFmtId="10" fontId="3" fillId="0" borderId="0" xfId="7" applyNumberFormat="1" applyFont="1"/>
    <xf numFmtId="0" fontId="19" fillId="0" borderId="0" xfId="0" applyFont="1"/>
    <xf numFmtId="0" fontId="20" fillId="0" borderId="0" xfId="0" applyFont="1"/>
    <xf numFmtId="1" fontId="3" fillId="0" borderId="0" xfId="0" applyNumberFormat="1" applyFont="1"/>
    <xf numFmtId="0" fontId="24" fillId="0" borderId="0" xfId="8" applyAlignment="1">
      <alignment horizontal="left" vertical="top"/>
    </xf>
    <xf numFmtId="0" fontId="31" fillId="8" borderId="39" xfId="8" applyFont="1" applyFill="1" applyBorder="1" applyAlignment="1">
      <alignment horizontal="left" vertical="top" wrapText="1"/>
    </xf>
    <xf numFmtId="0" fontId="24" fillId="0" borderId="0" xfId="8" applyAlignment="1">
      <alignment horizontal="left" vertical="top" wrapText="1"/>
    </xf>
    <xf numFmtId="0" fontId="24" fillId="0" borderId="0" xfId="8" applyAlignment="1">
      <alignment horizontal="left" wrapText="1"/>
    </xf>
    <xf numFmtId="0" fontId="24" fillId="0" borderId="0" xfId="8" applyAlignment="1">
      <alignment horizontal="left" vertical="center" wrapText="1"/>
    </xf>
    <xf numFmtId="0" fontId="24" fillId="7" borderId="29" xfId="8" applyFill="1" applyBorder="1" applyAlignment="1">
      <alignment horizontal="left" vertical="center" wrapText="1"/>
    </xf>
    <xf numFmtId="0" fontId="24" fillId="0" borderId="30" xfId="8" applyBorder="1" applyAlignment="1">
      <alignment horizontal="left" wrapText="1"/>
    </xf>
    <xf numFmtId="0" fontId="42" fillId="9" borderId="41" xfId="0" applyFont="1" applyFill="1" applyBorder="1" applyAlignment="1">
      <alignment horizontal="center" vertical="center"/>
    </xf>
    <xf numFmtId="0" fontId="41" fillId="9" borderId="44" xfId="0" applyFont="1" applyFill="1" applyBorder="1" applyAlignment="1">
      <alignment horizontal="center" vertical="center"/>
    </xf>
    <xf numFmtId="0" fontId="23" fillId="0" borderId="45" xfId="0" applyFont="1" applyBorder="1" applyAlignment="1">
      <alignment horizontal="center" vertical="center"/>
    </xf>
    <xf numFmtId="0" fontId="23" fillId="0" borderId="20" xfId="0" applyFont="1" applyBorder="1" applyAlignment="1">
      <alignment vertical="center"/>
    </xf>
    <xf numFmtId="0" fontId="23" fillId="0" borderId="46" xfId="0" applyFont="1" applyBorder="1" applyAlignment="1">
      <alignment horizontal="center" vertical="center"/>
    </xf>
    <xf numFmtId="170" fontId="23" fillId="0" borderId="20" xfId="1" applyNumberFormat="1" applyFont="1" applyBorder="1" applyAlignment="1">
      <alignment vertical="center"/>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8" xfId="0" applyFont="1" applyBorder="1" applyAlignment="1">
      <alignment horizontal="center" vertical="center"/>
    </xf>
    <xf numFmtId="3" fontId="23" fillId="0" borderId="20" xfId="0" applyNumberFormat="1" applyFont="1" applyBorder="1" applyAlignment="1">
      <alignment vertical="center"/>
    </xf>
    <xf numFmtId="3" fontId="23" fillId="0" borderId="20" xfId="0" applyNumberFormat="1" applyFont="1" applyBorder="1" applyAlignment="1">
      <alignment horizontal="right" vertical="center"/>
    </xf>
    <xf numFmtId="3" fontId="23" fillId="0" borderId="20" xfId="1" applyNumberFormat="1" applyFont="1" applyBorder="1" applyAlignment="1">
      <alignment horizontal="right" vertical="center"/>
    </xf>
    <xf numFmtId="0" fontId="23" fillId="0" borderId="20" xfId="1" applyNumberFormat="1" applyFont="1" applyBorder="1" applyAlignment="1">
      <alignment horizontal="right" vertical="center"/>
    </xf>
    <xf numFmtId="0" fontId="23" fillId="0" borderId="19" xfId="0" applyFont="1" applyBorder="1" applyAlignment="1">
      <alignment horizontal="center" vertical="center"/>
    </xf>
    <xf numFmtId="0" fontId="46" fillId="0" borderId="41" xfId="0" applyFont="1" applyBorder="1" applyAlignment="1">
      <alignment horizontal="center" vertical="center"/>
    </xf>
    <xf numFmtId="0" fontId="48" fillId="0" borderId="47" xfId="9" applyAlignment="1"/>
    <xf numFmtId="0" fontId="48" fillId="0" borderId="47" xfId="9"/>
    <xf numFmtId="0" fontId="3" fillId="0" borderId="6" xfId="0" applyFont="1" applyBorder="1"/>
    <xf numFmtId="0" fontId="3" fillId="0" borderId="12" xfId="0" applyFont="1" applyBorder="1"/>
    <xf numFmtId="0" fontId="4" fillId="5" borderId="9" xfId="0" applyFont="1" applyFill="1" applyBorder="1"/>
    <xf numFmtId="0" fontId="48" fillId="5" borderId="41" xfId="9" applyFill="1" applyBorder="1" applyAlignment="1"/>
    <xf numFmtId="9" fontId="48" fillId="5" borderId="17" xfId="7" applyFont="1" applyFill="1" applyBorder="1" applyAlignment="1"/>
    <xf numFmtId="9" fontId="48" fillId="5" borderId="18" xfId="7" applyFont="1" applyFill="1" applyBorder="1" applyAlignment="1"/>
    <xf numFmtId="0" fontId="3" fillId="0" borderId="4" xfId="0" applyFont="1" applyBorder="1"/>
    <xf numFmtId="14" fontId="3" fillId="0" borderId="0" xfId="0" applyNumberFormat="1" applyFont="1" applyAlignment="1">
      <alignment horizontal="left"/>
    </xf>
    <xf numFmtId="0" fontId="19" fillId="0" borderId="0" xfId="0" applyFont="1" applyAlignment="1">
      <alignment horizontal="left"/>
    </xf>
    <xf numFmtId="0" fontId="3" fillId="0" borderId="51" xfId="0" applyFont="1" applyBorder="1"/>
    <xf numFmtId="0" fontId="20" fillId="0" borderId="52" xfId="0" applyFont="1" applyBorder="1"/>
    <xf numFmtId="0" fontId="5" fillId="3" borderId="52" xfId="0" applyFont="1" applyFill="1" applyBorder="1"/>
    <xf numFmtId="0" fontId="3" fillId="0" borderId="53" xfId="0" applyFont="1" applyBorder="1"/>
    <xf numFmtId="0" fontId="3" fillId="0" borderId="54" xfId="0" applyFont="1" applyBorder="1"/>
    <xf numFmtId="0" fontId="3" fillId="0" borderId="55" xfId="0" applyFont="1" applyBorder="1"/>
    <xf numFmtId="0" fontId="3" fillId="0" borderId="5" xfId="0" applyFont="1" applyBorder="1"/>
    <xf numFmtId="0" fontId="20" fillId="0" borderId="56" xfId="0" applyFont="1" applyBorder="1"/>
    <xf numFmtId="0" fontId="9" fillId="0" borderId="56" xfId="0" applyFont="1" applyBorder="1"/>
    <xf numFmtId="0" fontId="3" fillId="0" borderId="11" xfId="0" applyFont="1" applyBorder="1"/>
    <xf numFmtId="0" fontId="3" fillId="0" borderId="52" xfId="0" applyFont="1" applyBorder="1"/>
    <xf numFmtId="0" fontId="3" fillId="0" borderId="56" xfId="0" applyFont="1" applyBorder="1"/>
    <xf numFmtId="9" fontId="5" fillId="3" borderId="52" xfId="0" applyNumberFormat="1" applyFont="1" applyFill="1" applyBorder="1"/>
    <xf numFmtId="0" fontId="3" fillId="0" borderId="0" xfId="0" applyFont="1" applyAlignment="1">
      <alignment horizontal="left"/>
    </xf>
    <xf numFmtId="0" fontId="20" fillId="0" borderId="0" xfId="0" applyFont="1" applyAlignment="1">
      <alignment horizontal="left"/>
    </xf>
    <xf numFmtId="0" fontId="5" fillId="3" borderId="0" xfId="0" applyFont="1" applyFill="1" applyAlignment="1">
      <alignment horizontal="left"/>
    </xf>
    <xf numFmtId="172" fontId="3" fillId="0" borderId="0" xfId="7" applyNumberFormat="1" applyFont="1"/>
    <xf numFmtId="0" fontId="49" fillId="0" borderId="0" xfId="0" applyFont="1"/>
    <xf numFmtId="1" fontId="52" fillId="10" borderId="16" xfId="0" applyNumberFormat="1" applyFont="1" applyFill="1" applyBorder="1" applyAlignment="1">
      <alignment horizontal="center"/>
    </xf>
    <xf numFmtId="0" fontId="18" fillId="13" borderId="20" xfId="10" applyFont="1" applyFill="1" applyBorder="1" applyAlignment="1">
      <alignment horizontal="center" vertical="center"/>
    </xf>
    <xf numFmtId="3" fontId="18" fillId="0" borderId="14" xfId="10" applyNumberFormat="1" applyFont="1" applyBorder="1" applyAlignment="1">
      <alignment horizontal="center" vertical="center"/>
    </xf>
    <xf numFmtId="0" fontId="18" fillId="13" borderId="23" xfId="10" applyFont="1" applyFill="1" applyBorder="1" applyAlignment="1">
      <alignment horizontal="center" vertical="center"/>
    </xf>
    <xf numFmtId="3" fontId="18" fillId="0" borderId="10" xfId="10" applyNumberFormat="1" applyFont="1" applyBorder="1" applyAlignment="1">
      <alignment horizontal="center" vertical="center"/>
    </xf>
    <xf numFmtId="2" fontId="1" fillId="0" borderId="0" xfId="10" applyNumberFormat="1" applyAlignment="1">
      <alignment horizontal="center" vertical="center"/>
    </xf>
    <xf numFmtId="10" fontId="1" fillId="0" borderId="0" xfId="11" applyNumberFormat="1" applyFont="1" applyAlignment="1">
      <alignment horizontal="center" vertical="center"/>
    </xf>
    <xf numFmtId="0" fontId="0" fillId="0" borderId="50" xfId="0" applyBorder="1"/>
    <xf numFmtId="10" fontId="1" fillId="0" borderId="50" xfId="11" applyNumberFormat="1" applyFont="1" applyBorder="1" applyAlignment="1">
      <alignment horizontal="center" vertical="center"/>
    </xf>
    <xf numFmtId="0" fontId="18" fillId="13" borderId="57" xfId="10" applyFont="1" applyFill="1" applyBorder="1" applyAlignment="1">
      <alignment horizontal="center" vertical="center"/>
    </xf>
    <xf numFmtId="10" fontId="53" fillId="0" borderId="58" xfId="12" applyNumberFormat="1" applyFont="1" applyBorder="1" applyAlignment="1">
      <alignment horizontal="center" vertical="center"/>
    </xf>
    <xf numFmtId="170" fontId="3" fillId="0" borderId="0" xfId="0" applyNumberFormat="1" applyFont="1"/>
    <xf numFmtId="49" fontId="8" fillId="0" borderId="0" xfId="0" applyNumberFormat="1" applyFont="1"/>
    <xf numFmtId="0" fontId="23" fillId="0" borderId="60" xfId="0" applyFont="1" applyBorder="1" applyAlignment="1">
      <alignment horizontal="center" vertical="center"/>
    </xf>
    <xf numFmtId="0" fontId="23" fillId="0" borderId="59" xfId="0" applyFont="1" applyBorder="1" applyAlignment="1">
      <alignment horizontal="center" vertical="center"/>
    </xf>
    <xf numFmtId="0" fontId="54" fillId="0" borderId="59" xfId="0" applyFont="1" applyBorder="1" applyAlignment="1">
      <alignment horizontal="center" vertical="center"/>
    </xf>
    <xf numFmtId="0" fontId="54" fillId="0" borderId="60" xfId="0" applyFont="1" applyBorder="1" applyAlignment="1">
      <alignment horizontal="center" vertical="center"/>
    </xf>
    <xf numFmtId="0" fontId="23" fillId="0" borderId="44" xfId="0" applyFont="1" applyBorder="1" applyAlignment="1">
      <alignment horizontal="left" vertical="center"/>
    </xf>
    <xf numFmtId="1" fontId="48" fillId="5" borderId="17" xfId="7" applyNumberFormat="1" applyFont="1" applyFill="1" applyBorder="1" applyAlignment="1"/>
    <xf numFmtId="0" fontId="3" fillId="0" borderId="61" xfId="0" applyFont="1" applyBorder="1"/>
    <xf numFmtId="49" fontId="8" fillId="0" borderId="56" xfId="0" applyNumberFormat="1" applyFont="1" applyBorder="1"/>
    <xf numFmtId="170" fontId="3" fillId="0" borderId="56" xfId="0" applyNumberFormat="1" applyFont="1" applyBorder="1"/>
    <xf numFmtId="170" fontId="3" fillId="0" borderId="56" xfId="1" applyNumberFormat="1" applyFont="1" applyBorder="1"/>
    <xf numFmtId="10" fontId="1" fillId="0" borderId="50" xfId="11" applyNumberFormat="1" applyFont="1" applyFill="1" applyBorder="1" applyAlignment="1">
      <alignment horizontal="center" vertical="center"/>
    </xf>
    <xf numFmtId="49" fontId="55" fillId="0" borderId="0" xfId="0" applyNumberFormat="1" applyFont="1"/>
    <xf numFmtId="170" fontId="4" fillId="0" borderId="0" xfId="0" applyNumberFormat="1" applyFont="1"/>
    <xf numFmtId="170" fontId="4" fillId="0" borderId="0" xfId="1" applyNumberFormat="1" applyFont="1"/>
    <xf numFmtId="2" fontId="0" fillId="0" borderId="0" xfId="0" applyNumberFormat="1"/>
    <xf numFmtId="6" fontId="24" fillId="0" borderId="0" xfId="8" applyNumberFormat="1" applyAlignment="1">
      <alignment horizontal="left" vertical="top" wrapText="1"/>
    </xf>
    <xf numFmtId="6" fontId="24" fillId="0" borderId="0" xfId="8" applyNumberFormat="1" applyAlignment="1">
      <alignment horizontal="left" wrapText="1"/>
    </xf>
    <xf numFmtId="174" fontId="3" fillId="0" borderId="0" xfId="0" applyNumberFormat="1" applyFont="1"/>
    <xf numFmtId="43" fontId="3" fillId="0" borderId="0" xfId="0" applyNumberFormat="1" applyFont="1"/>
    <xf numFmtId="175" fontId="3" fillId="0" borderId="0" xfId="0" applyNumberFormat="1" applyFont="1"/>
    <xf numFmtId="176" fontId="3" fillId="0" borderId="0" xfId="7" applyNumberFormat="1" applyFont="1"/>
    <xf numFmtId="174" fontId="3" fillId="0" borderId="0" xfId="1" applyNumberFormat="1" applyFont="1"/>
    <xf numFmtId="8" fontId="3" fillId="0" borderId="0" xfId="2" applyNumberFormat="1" applyFont="1"/>
    <xf numFmtId="8" fontId="3" fillId="0" borderId="0" xfId="1" applyNumberFormat="1" applyFont="1"/>
    <xf numFmtId="9" fontId="3" fillId="0" borderId="20" xfId="7" applyFont="1" applyBorder="1"/>
    <xf numFmtId="9" fontId="3" fillId="0" borderId="0" xfId="7" applyFont="1"/>
    <xf numFmtId="170" fontId="3" fillId="0" borderId="0" xfId="1" applyNumberFormat="1" applyFont="1" applyFill="1"/>
    <xf numFmtId="168" fontId="24" fillId="0" borderId="0" xfId="8" applyNumberFormat="1" applyAlignment="1">
      <alignment horizontal="left" vertical="top"/>
    </xf>
    <xf numFmtId="166" fontId="24" fillId="0" borderId="0" xfId="8" applyNumberFormat="1" applyAlignment="1">
      <alignment horizontal="left" vertical="top"/>
    </xf>
    <xf numFmtId="1" fontId="24" fillId="0" borderId="0" xfId="8" applyNumberFormat="1" applyAlignment="1">
      <alignment horizontal="left" vertical="top"/>
    </xf>
    <xf numFmtId="0" fontId="57" fillId="0" borderId="0" xfId="13" applyFont="1"/>
    <xf numFmtId="0" fontId="56" fillId="14" borderId="20" xfId="13" applyFill="1" applyBorder="1"/>
    <xf numFmtId="14" fontId="56" fillId="14" borderId="15" xfId="13" applyNumberFormat="1" applyFill="1" applyBorder="1"/>
    <xf numFmtId="171" fontId="56" fillId="14" borderId="20" xfId="13" applyNumberFormat="1" applyFill="1" applyBorder="1" applyAlignment="1">
      <alignment horizontal="right"/>
    </xf>
    <xf numFmtId="14" fontId="56" fillId="14" borderId="20" xfId="13" applyNumberFormat="1" applyFill="1" applyBorder="1" applyAlignment="1">
      <alignment horizontal="right"/>
    </xf>
    <xf numFmtId="0" fontId="56" fillId="14" borderId="20" xfId="13" applyFill="1" applyBorder="1" applyAlignment="1">
      <alignment horizontal="center"/>
    </xf>
    <xf numFmtId="0" fontId="56" fillId="14" borderId="0" xfId="13" applyFill="1"/>
    <xf numFmtId="0" fontId="56" fillId="14" borderId="20" xfId="13" applyFill="1" applyBorder="1" applyAlignment="1">
      <alignment horizontal="left"/>
    </xf>
    <xf numFmtId="0" fontId="56" fillId="0" borderId="20" xfId="13" applyBorder="1" applyAlignment="1">
      <alignment horizontal="center"/>
    </xf>
    <xf numFmtId="0" fontId="56" fillId="0" borderId="20" xfId="13" applyBorder="1"/>
    <xf numFmtId="0" fontId="56" fillId="0" borderId="0" xfId="13"/>
    <xf numFmtId="14" fontId="56" fillId="0" borderId="15" xfId="13" applyNumberFormat="1" applyBorder="1"/>
    <xf numFmtId="171" fontId="56" fillId="0" borderId="20" xfId="13" applyNumberFormat="1" applyBorder="1" applyAlignment="1">
      <alignment horizontal="right"/>
    </xf>
    <xf numFmtId="14" fontId="56" fillId="0" borderId="20" xfId="13" applyNumberFormat="1" applyBorder="1" applyAlignment="1">
      <alignment horizontal="right"/>
    </xf>
    <xf numFmtId="14" fontId="56" fillId="14" borderId="20" xfId="13" applyNumberFormat="1" applyFill="1" applyBorder="1"/>
    <xf numFmtId="14" fontId="56" fillId="0" borderId="0" xfId="13" applyNumberFormat="1"/>
    <xf numFmtId="171" fontId="56" fillId="0" borderId="0" xfId="13" applyNumberFormat="1" applyAlignment="1">
      <alignment horizontal="right"/>
    </xf>
    <xf numFmtId="14" fontId="56" fillId="0" borderId="0" xfId="13" applyNumberFormat="1" applyAlignment="1">
      <alignment horizontal="right"/>
    </xf>
    <xf numFmtId="0" fontId="56" fillId="0" borderId="0" xfId="13" applyAlignment="1">
      <alignment horizontal="center"/>
    </xf>
    <xf numFmtId="0" fontId="56" fillId="14" borderId="15" xfId="13" applyFill="1" applyBorder="1"/>
    <xf numFmtId="0" fontId="56" fillId="0" borderId="15" xfId="13" applyBorder="1"/>
    <xf numFmtId="0" fontId="56" fillId="14" borderId="13" xfId="13" applyFill="1" applyBorder="1"/>
    <xf numFmtId="0" fontId="58" fillId="0" borderId="13" xfId="13" applyFont="1" applyBorder="1"/>
    <xf numFmtId="0" fontId="58" fillId="14" borderId="13" xfId="13" applyFont="1" applyFill="1" applyBorder="1"/>
    <xf numFmtId="0" fontId="56" fillId="0" borderId="13" xfId="13" applyBorder="1"/>
    <xf numFmtId="0" fontId="57" fillId="0" borderId="11" xfId="13" applyFont="1" applyBorder="1"/>
    <xf numFmtId="14" fontId="57" fillId="0" borderId="11" xfId="13" applyNumberFormat="1" applyFont="1" applyBorder="1" applyAlignment="1">
      <alignment horizontal="center" wrapText="1"/>
    </xf>
    <xf numFmtId="0" fontId="57" fillId="0" borderId="49" xfId="13" applyFont="1" applyBorder="1" applyAlignment="1">
      <alignment horizontal="center"/>
    </xf>
    <xf numFmtId="0" fontId="57" fillId="0" borderId="49" xfId="13" applyFont="1" applyBorder="1" applyAlignment="1">
      <alignment wrapText="1"/>
    </xf>
    <xf numFmtId="0" fontId="57" fillId="0" borderId="49" xfId="13" applyFont="1" applyBorder="1"/>
    <xf numFmtId="171" fontId="57" fillId="0" borderId="49" xfId="13" applyNumberFormat="1" applyFont="1" applyBorder="1" applyAlignment="1">
      <alignment horizontal="right" wrapText="1"/>
    </xf>
    <xf numFmtId="14" fontId="57" fillId="0" borderId="49" xfId="13" applyNumberFormat="1" applyFont="1" applyBorder="1" applyAlignment="1">
      <alignment horizontal="center" wrapText="1"/>
    </xf>
    <xf numFmtId="0" fontId="57" fillId="0" borderId="5" xfId="13" applyFont="1" applyBorder="1"/>
    <xf numFmtId="0" fontId="56" fillId="14" borderId="53" xfId="13" applyFill="1" applyBorder="1"/>
    <xf numFmtId="14" fontId="56" fillId="14" borderId="21" xfId="13" applyNumberFormat="1" applyFill="1" applyBorder="1"/>
    <xf numFmtId="0" fontId="56" fillId="14" borderId="21" xfId="13" applyFill="1" applyBorder="1"/>
    <xf numFmtId="171" fontId="56" fillId="14" borderId="21" xfId="13" applyNumberFormat="1" applyFill="1" applyBorder="1" applyAlignment="1">
      <alignment horizontal="right"/>
    </xf>
    <xf numFmtId="14" fontId="56" fillId="14" borderId="21" xfId="13" applyNumberFormat="1" applyFill="1" applyBorder="1" applyAlignment="1">
      <alignment horizontal="right"/>
    </xf>
    <xf numFmtId="0" fontId="56" fillId="14" borderId="21" xfId="13" applyFill="1" applyBorder="1" applyAlignment="1">
      <alignment horizontal="center"/>
    </xf>
    <xf numFmtId="0" fontId="56" fillId="14" borderId="51" xfId="13" applyFill="1" applyBorder="1"/>
    <xf numFmtId="0" fontId="19" fillId="0" borderId="50" xfId="0" applyFont="1" applyBorder="1"/>
    <xf numFmtId="0" fontId="23" fillId="0" borderId="41" xfId="0" applyFont="1" applyBorder="1" applyAlignment="1">
      <alignment vertical="center"/>
    </xf>
    <xf numFmtId="0" fontId="23" fillId="0" borderId="17" xfId="0" applyFont="1" applyBorder="1" applyAlignment="1">
      <alignment vertical="center"/>
    </xf>
    <xf numFmtId="0" fontId="23" fillId="0" borderId="18" xfId="0" applyFont="1" applyBorder="1" applyAlignment="1">
      <alignment vertical="center"/>
    </xf>
    <xf numFmtId="0" fontId="0" fillId="0" borderId="19" xfId="0" applyBorder="1"/>
    <xf numFmtId="0" fontId="0" fillId="0" borderId="62" xfId="0" applyBorder="1"/>
    <xf numFmtId="0" fontId="0" fillId="0" borderId="63" xfId="0" applyBorder="1"/>
    <xf numFmtId="0" fontId="18" fillId="0" borderId="0" xfId="0" applyFont="1"/>
    <xf numFmtId="0" fontId="59" fillId="0" borderId="0" xfId="14"/>
    <xf numFmtId="0" fontId="60" fillId="0" borderId="64" xfId="15">
      <alignment wrapText="1"/>
    </xf>
    <xf numFmtId="0" fontId="21" fillId="15" borderId="40" xfId="0" applyFont="1" applyFill="1" applyBorder="1"/>
    <xf numFmtId="0" fontId="21" fillId="15" borderId="24" xfId="0" applyFont="1" applyFill="1" applyBorder="1"/>
    <xf numFmtId="0" fontId="61" fillId="0" borderId="0" xfId="0" applyFont="1"/>
    <xf numFmtId="0" fontId="10" fillId="15" borderId="24" xfId="5" applyFill="1" applyBorder="1"/>
    <xf numFmtId="0" fontId="0" fillId="15" borderId="59" xfId="0" applyFill="1" applyBorder="1"/>
    <xf numFmtId="0" fontId="62" fillId="0" borderId="0" xfId="0" applyFont="1"/>
    <xf numFmtId="0" fontId="63" fillId="0" borderId="0" xfId="16">
      <alignment horizontal="left"/>
    </xf>
    <xf numFmtId="0" fontId="64" fillId="0" borderId="0" xfId="0" applyFont="1" applyAlignment="1">
      <alignment horizontal="right"/>
    </xf>
    <xf numFmtId="0" fontId="0" fillId="0" borderId="0" xfId="0" applyAlignment="1">
      <alignment horizontal="left"/>
    </xf>
    <xf numFmtId="0" fontId="60" fillId="0" borderId="64" xfId="15" applyAlignment="1">
      <alignment horizontal="right"/>
    </xf>
    <xf numFmtId="0" fontId="60" fillId="0" borderId="65" xfId="17">
      <alignment wrapText="1"/>
    </xf>
    <xf numFmtId="0" fontId="0" fillId="0" borderId="66" xfId="18" applyFont="1">
      <alignment wrapText="1"/>
    </xf>
    <xf numFmtId="3" fontId="0" fillId="0" borderId="66" xfId="18" applyNumberFormat="1" applyFont="1" applyAlignment="1">
      <alignment horizontal="right" wrapText="1"/>
    </xf>
    <xf numFmtId="172" fontId="0" fillId="0" borderId="66" xfId="18" applyNumberFormat="1" applyFont="1" applyAlignment="1">
      <alignment horizontal="right" wrapText="1"/>
    </xf>
    <xf numFmtId="4" fontId="0" fillId="0" borderId="66" xfId="18" applyNumberFormat="1" applyFont="1" applyAlignment="1">
      <alignment horizontal="right" wrapText="1"/>
    </xf>
    <xf numFmtId="0" fontId="62" fillId="3" borderId="0" xfId="0" applyFont="1" applyFill="1"/>
    <xf numFmtId="0" fontId="0" fillId="3" borderId="66" xfId="18" applyFont="1" applyFill="1">
      <alignment wrapText="1"/>
    </xf>
    <xf numFmtId="4" fontId="0" fillId="3" borderId="66" xfId="18" applyNumberFormat="1" applyFont="1" applyFill="1" applyAlignment="1">
      <alignment horizontal="right" wrapText="1"/>
    </xf>
    <xf numFmtId="172" fontId="0" fillId="3" borderId="66" xfId="18" applyNumberFormat="1" applyFont="1" applyFill="1" applyAlignment="1">
      <alignment horizontal="right" wrapText="1"/>
    </xf>
    <xf numFmtId="0" fontId="0" fillId="3" borderId="0" xfId="0" applyFill="1"/>
    <xf numFmtId="4" fontId="60" fillId="0" borderId="65" xfId="17" applyNumberFormat="1" applyAlignment="1">
      <alignment horizontal="right" wrapText="1"/>
    </xf>
    <xf numFmtId="172" fontId="60" fillId="0" borderId="65" xfId="17" applyNumberFormat="1" applyAlignment="1">
      <alignment horizontal="right" wrapText="1"/>
    </xf>
    <xf numFmtId="0" fontId="65" fillId="0" borderId="67" xfId="19" applyFont="1">
      <alignment wrapText="1"/>
    </xf>
    <xf numFmtId="0" fontId="65" fillId="0" borderId="0" xfId="0" applyFont="1"/>
    <xf numFmtId="10" fontId="0" fillId="0" borderId="0" xfId="0" applyNumberFormat="1"/>
    <xf numFmtId="0" fontId="10" fillId="0" borderId="0" xfId="5"/>
    <xf numFmtId="0" fontId="18" fillId="0" borderId="46" xfId="0" applyFont="1" applyBorder="1"/>
    <xf numFmtId="0" fontId="18" fillId="0" borderId="44" xfId="0" applyFont="1" applyBorder="1"/>
    <xf numFmtId="0" fontId="0" fillId="3" borderId="68" xfId="18" applyFont="1" applyFill="1" applyBorder="1">
      <alignment wrapText="1"/>
    </xf>
    <xf numFmtId="171" fontId="0" fillId="0" borderId="0" xfId="0" applyNumberFormat="1"/>
    <xf numFmtId="177" fontId="0" fillId="0" borderId="0" xfId="0" applyNumberFormat="1"/>
    <xf numFmtId="177" fontId="0" fillId="0" borderId="44" xfId="0" applyNumberFormat="1" applyBorder="1"/>
    <xf numFmtId="0" fontId="0" fillId="3" borderId="45" xfId="18" applyFont="1" applyFill="1" applyBorder="1">
      <alignment wrapText="1"/>
    </xf>
    <xf numFmtId="171" fontId="0" fillId="0" borderId="50" xfId="0" applyNumberFormat="1" applyBorder="1"/>
    <xf numFmtId="177" fontId="0" fillId="0" borderId="50" xfId="0" applyNumberFormat="1" applyBorder="1"/>
    <xf numFmtId="177" fontId="0" fillId="0" borderId="60" xfId="0" applyNumberFormat="1" applyBorder="1"/>
    <xf numFmtId="0" fontId="4" fillId="5" borderId="8" xfId="0" applyFont="1" applyFill="1" applyBorder="1"/>
    <xf numFmtId="1" fontId="48" fillId="5" borderId="18" xfId="7" applyNumberFormat="1" applyFont="1" applyFill="1" applyBorder="1" applyAlignment="1"/>
    <xf numFmtId="0" fontId="4" fillId="5" borderId="50" xfId="0" applyFont="1" applyFill="1" applyBorder="1"/>
    <xf numFmtId="170" fontId="4" fillId="0" borderId="0" xfId="1" applyNumberFormat="1" applyFont="1" applyFill="1" applyBorder="1"/>
    <xf numFmtId="0" fontId="4" fillId="5" borderId="41" xfId="0" applyFont="1" applyFill="1" applyBorder="1"/>
    <xf numFmtId="0" fontId="4" fillId="5" borderId="17" xfId="0" applyFont="1" applyFill="1" applyBorder="1"/>
    <xf numFmtId="0" fontId="3" fillId="0" borderId="69" xfId="0" applyFont="1" applyBorder="1"/>
    <xf numFmtId="0" fontId="4" fillId="5" borderId="70" xfId="0" applyFont="1" applyFill="1" applyBorder="1"/>
    <xf numFmtId="0" fontId="3" fillId="0" borderId="46" xfId="0" applyFont="1" applyBorder="1"/>
    <xf numFmtId="0" fontId="3" fillId="0" borderId="62" xfId="0" applyFont="1" applyBorder="1"/>
    <xf numFmtId="174" fontId="3" fillId="0" borderId="21" xfId="1" applyNumberFormat="1" applyFont="1" applyBorder="1"/>
    <xf numFmtId="174" fontId="3" fillId="0" borderId="22" xfId="1" applyNumberFormat="1" applyFont="1" applyBorder="1"/>
    <xf numFmtId="174" fontId="4" fillId="5" borderId="23" xfId="0" applyNumberFormat="1" applyFont="1" applyFill="1" applyBorder="1"/>
    <xf numFmtId="174" fontId="4" fillId="5" borderId="10" xfId="0" applyNumberFormat="1" applyFont="1" applyFill="1" applyBorder="1"/>
    <xf numFmtId="174" fontId="3" fillId="0" borderId="48" xfId="0" applyNumberFormat="1" applyFont="1" applyBorder="1"/>
    <xf numFmtId="174" fontId="3" fillId="0" borderId="7" xfId="0" applyNumberFormat="1" applyFont="1" applyBorder="1"/>
    <xf numFmtId="174" fontId="3" fillId="0" borderId="20" xfId="0" applyNumberFormat="1" applyFont="1" applyBorder="1"/>
    <xf numFmtId="174" fontId="3" fillId="0" borderId="14" xfId="0" applyNumberFormat="1" applyFont="1" applyBorder="1"/>
    <xf numFmtId="43" fontId="3" fillId="0" borderId="0" xfId="1" applyFont="1" applyBorder="1"/>
    <xf numFmtId="43" fontId="4" fillId="5" borderId="50" xfId="1" applyFont="1" applyFill="1" applyBorder="1"/>
    <xf numFmtId="43" fontId="4" fillId="5" borderId="60" xfId="1" applyFont="1" applyFill="1" applyBorder="1"/>
    <xf numFmtId="43" fontId="4" fillId="5" borderId="17" xfId="1" applyFont="1" applyFill="1" applyBorder="1"/>
    <xf numFmtId="43" fontId="4" fillId="5" borderId="18" xfId="1" applyFont="1" applyFill="1" applyBorder="1"/>
    <xf numFmtId="43" fontId="4" fillId="0" borderId="0" xfId="1" applyFont="1" applyFill="1" applyBorder="1"/>
    <xf numFmtId="9" fontId="5" fillId="3" borderId="0" xfId="0" applyNumberFormat="1" applyFont="1" applyFill="1"/>
    <xf numFmtId="1" fontId="5" fillId="3" borderId="0" xfId="0" applyNumberFormat="1" applyFont="1" applyFill="1"/>
    <xf numFmtId="169" fontId="5" fillId="3" borderId="0" xfId="0" applyNumberFormat="1" applyFont="1" applyFill="1"/>
    <xf numFmtId="10" fontId="3" fillId="0" borderId="0" xfId="7" applyNumberFormat="1" applyFont="1" applyBorder="1"/>
    <xf numFmtId="44" fontId="5" fillId="3" borderId="0" xfId="2" applyFont="1" applyFill="1" applyBorder="1"/>
    <xf numFmtId="44" fontId="5" fillId="3" borderId="56" xfId="2" applyFont="1" applyFill="1" applyBorder="1"/>
    <xf numFmtId="0" fontId="3" fillId="0" borderId="56" xfId="0" applyFont="1" applyBorder="1" applyAlignment="1">
      <alignment wrapText="1"/>
    </xf>
    <xf numFmtId="8" fontId="5" fillId="3" borderId="0" xfId="7" applyNumberFormat="1" applyFont="1" applyFill="1" applyBorder="1"/>
    <xf numFmtId="169" fontId="5" fillId="3" borderId="52" xfId="0" applyNumberFormat="1" applyFont="1" applyFill="1" applyBorder="1"/>
    <xf numFmtId="165" fontId="3" fillId="0" borderId="56" xfId="0" applyNumberFormat="1" applyFont="1" applyBorder="1"/>
    <xf numFmtId="0" fontId="19" fillId="0" borderId="52" xfId="0" applyFont="1" applyBorder="1"/>
    <xf numFmtId="0" fontId="11" fillId="0" borderId="52" xfId="8" applyFont="1" applyBorder="1" applyAlignment="1">
      <alignment horizontal="left" vertical="top"/>
    </xf>
    <xf numFmtId="1" fontId="24" fillId="0" borderId="52" xfId="8" applyNumberFormat="1" applyBorder="1" applyAlignment="1">
      <alignment horizontal="left" vertical="top"/>
    </xf>
    <xf numFmtId="1" fontId="24" fillId="0" borderId="53" xfId="8" applyNumberFormat="1" applyBorder="1" applyAlignment="1">
      <alignment horizontal="left" vertical="top"/>
    </xf>
    <xf numFmtId="8" fontId="5" fillId="3" borderId="55" xfId="7" applyNumberFormat="1" applyFont="1" applyFill="1" applyBorder="1"/>
    <xf numFmtId="8" fontId="5" fillId="3" borderId="56" xfId="7" applyNumberFormat="1" applyFont="1" applyFill="1" applyBorder="1"/>
    <xf numFmtId="8" fontId="5" fillId="3" borderId="11" xfId="7" applyNumberFormat="1" applyFont="1" applyFill="1" applyBorder="1"/>
    <xf numFmtId="167" fontId="24" fillId="0" borderId="0" xfId="8" applyNumberFormat="1" applyAlignment="1">
      <alignment horizontal="left" vertical="top"/>
    </xf>
    <xf numFmtId="2" fontId="3" fillId="0" borderId="20" xfId="0" applyNumberFormat="1" applyFont="1" applyBorder="1"/>
    <xf numFmtId="2" fontId="3" fillId="0" borderId="14" xfId="0" applyNumberFormat="1" applyFont="1" applyBorder="1"/>
    <xf numFmtId="0" fontId="7" fillId="0" borderId="0" xfId="3" applyFont="1" applyBorder="1" applyAlignment="1">
      <alignment horizontal="center"/>
    </xf>
    <xf numFmtId="2" fontId="66" fillId="0" borderId="18" xfId="0" applyNumberFormat="1" applyFont="1" applyBorder="1"/>
    <xf numFmtId="2" fontId="66" fillId="0" borderId="0" xfId="0" applyNumberFormat="1" applyFont="1"/>
    <xf numFmtId="172" fontId="3" fillId="0" borderId="54" xfId="0" applyNumberFormat="1" applyFont="1" applyBorder="1"/>
    <xf numFmtId="9" fontId="3" fillId="0" borderId="23" xfId="7" applyFont="1" applyBorder="1"/>
    <xf numFmtId="9" fontId="3" fillId="0" borderId="10" xfId="7" applyFont="1" applyBorder="1"/>
    <xf numFmtId="0" fontId="67" fillId="0" borderId="0" xfId="3" applyFont="1" applyBorder="1"/>
    <xf numFmtId="0" fontId="41" fillId="9" borderId="46" xfId="0" applyFont="1" applyFill="1" applyBorder="1" applyAlignment="1">
      <alignment horizontal="center" vertical="center" wrapText="1"/>
    </xf>
    <xf numFmtId="0" fontId="23" fillId="0" borderId="13" xfId="0" applyFont="1" applyBorder="1" applyAlignment="1">
      <alignment horizontal="right" vertical="center"/>
    </xf>
    <xf numFmtId="0" fontId="45" fillId="0" borderId="13" xfId="0" applyFont="1" applyBorder="1" applyAlignment="1">
      <alignment horizontal="right" vertical="center"/>
    </xf>
    <xf numFmtId="3" fontId="0" fillId="0" borderId="13" xfId="0" applyNumberFormat="1" applyBorder="1" applyAlignment="1">
      <alignment horizontal="right"/>
    </xf>
    <xf numFmtId="3" fontId="23" fillId="0" borderId="13" xfId="0" applyNumberFormat="1" applyFont="1" applyBorder="1" applyAlignment="1">
      <alignment horizontal="right"/>
    </xf>
    <xf numFmtId="0" fontId="23" fillId="0" borderId="13" xfId="0" applyFont="1" applyBorder="1" applyAlignment="1">
      <alignment horizontal="center" vertical="center"/>
    </xf>
    <xf numFmtId="0" fontId="23" fillId="0" borderId="15" xfId="0" applyFont="1" applyBorder="1" applyAlignment="1">
      <alignment vertical="center"/>
    </xf>
    <xf numFmtId="170" fontId="23" fillId="0" borderId="15" xfId="1" applyNumberFormat="1" applyFont="1" applyBorder="1" applyAlignment="1">
      <alignment vertical="center"/>
    </xf>
    <xf numFmtId="0" fontId="42" fillId="0" borderId="71" xfId="0" applyFont="1" applyBorder="1" applyAlignment="1">
      <alignment horizontal="center" vertical="center"/>
    </xf>
    <xf numFmtId="0" fontId="41" fillId="0" borderId="71" xfId="0" applyFont="1" applyBorder="1" applyAlignment="1">
      <alignment horizontal="center" vertical="center" wrapText="1"/>
    </xf>
    <xf numFmtId="0" fontId="23" fillId="0" borderId="71" xfId="0" applyFont="1" applyBorder="1" applyAlignment="1">
      <alignment horizontal="right" vertical="center"/>
    </xf>
    <xf numFmtId="0" fontId="45" fillId="0" borderId="71" xfId="0" applyFont="1" applyBorder="1" applyAlignment="1">
      <alignment horizontal="right" vertical="center"/>
    </xf>
    <xf numFmtId="3" fontId="0" fillId="0" borderId="71" xfId="0" applyNumberFormat="1" applyBorder="1" applyAlignment="1">
      <alignment horizontal="right"/>
    </xf>
    <xf numFmtId="3" fontId="23" fillId="0" borderId="71" xfId="0" applyNumberFormat="1" applyFont="1" applyBorder="1" applyAlignment="1">
      <alignment horizontal="right"/>
    </xf>
    <xf numFmtId="0" fontId="23" fillId="0" borderId="71" xfId="0" applyFont="1" applyBorder="1" applyAlignment="1">
      <alignment horizontal="center" vertical="center"/>
    </xf>
    <xf numFmtId="178" fontId="46" fillId="0" borderId="13" xfId="0" applyNumberFormat="1" applyFont="1" applyBorder="1" applyAlignment="1">
      <alignment vertical="center"/>
    </xf>
    <xf numFmtId="178" fontId="46" fillId="0" borderId="71" xfId="0" applyNumberFormat="1" applyFont="1" applyBorder="1" applyAlignment="1">
      <alignment vertical="center"/>
    </xf>
    <xf numFmtId="178" fontId="46" fillId="0" borderId="15" xfId="0" applyNumberFormat="1" applyFont="1" applyBorder="1" applyAlignment="1">
      <alignment vertical="center"/>
    </xf>
    <xf numFmtId="178" fontId="46" fillId="0" borderId="20" xfId="0" applyNumberFormat="1" applyFont="1" applyBorder="1" applyAlignment="1">
      <alignment vertical="center"/>
    </xf>
    <xf numFmtId="0" fontId="41" fillId="9" borderId="0" xfId="0" applyFont="1" applyFill="1" applyAlignment="1">
      <alignment horizontal="center" vertical="center"/>
    </xf>
    <xf numFmtId="0" fontId="23" fillId="0" borderId="13" xfId="0" applyFont="1" applyBorder="1" applyAlignment="1">
      <alignment vertical="center"/>
    </xf>
    <xf numFmtId="3" fontId="23" fillId="0" borderId="13" xfId="0" applyNumberFormat="1" applyFont="1" applyBorder="1" applyAlignment="1">
      <alignment vertical="center"/>
    </xf>
    <xf numFmtId="170" fontId="23" fillId="0" borderId="13" xfId="1" applyNumberFormat="1" applyFont="1" applyBorder="1" applyAlignment="1">
      <alignment vertical="center"/>
    </xf>
    <xf numFmtId="3" fontId="23" fillId="0" borderId="13" xfId="0" applyNumberFormat="1" applyFont="1" applyBorder="1" applyAlignment="1">
      <alignment horizontal="right" vertical="center"/>
    </xf>
    <xf numFmtId="3" fontId="23" fillId="0" borderId="13" xfId="1" applyNumberFormat="1" applyFont="1" applyBorder="1" applyAlignment="1">
      <alignment horizontal="right" vertical="center"/>
    </xf>
    <xf numFmtId="0" fontId="23" fillId="0" borderId="13" xfId="1" applyNumberFormat="1" applyFont="1" applyBorder="1" applyAlignment="1">
      <alignment horizontal="right" vertical="center"/>
    </xf>
    <xf numFmtId="0" fontId="41" fillId="9" borderId="40" xfId="0" applyFont="1" applyFill="1" applyBorder="1" applyAlignment="1">
      <alignment horizontal="center" vertical="center"/>
    </xf>
    <xf numFmtId="178" fontId="47" fillId="0" borderId="73" xfId="0" applyNumberFormat="1" applyFont="1" applyBorder="1" applyAlignment="1">
      <alignment vertical="center"/>
    </xf>
    <xf numFmtId="170" fontId="44" fillId="0" borderId="72" xfId="1" applyNumberFormat="1" applyFont="1" applyBorder="1" applyAlignment="1">
      <alignment vertical="center"/>
    </xf>
    <xf numFmtId="0" fontId="5" fillId="6" borderId="0" xfId="0" applyFont="1" applyFill="1"/>
    <xf numFmtId="169" fontId="0" fillId="0" borderId="0" xfId="0" applyNumberFormat="1"/>
    <xf numFmtId="170" fontId="23" fillId="0" borderId="13" xfId="1" applyNumberFormat="1" applyFont="1" applyBorder="1" applyAlignment="1">
      <alignment horizontal="right" vertical="center"/>
    </xf>
    <xf numFmtId="170" fontId="44" fillId="0" borderId="72" xfId="1" applyNumberFormat="1" applyFont="1" applyFill="1" applyBorder="1" applyAlignment="1">
      <alignment vertical="center"/>
    </xf>
    <xf numFmtId="172" fontId="3" fillId="0" borderId="55" xfId="7" applyNumberFormat="1" applyFont="1" applyBorder="1"/>
    <xf numFmtId="172" fontId="3" fillId="0" borderId="4" xfId="7" applyNumberFormat="1" applyFont="1" applyBorder="1"/>
    <xf numFmtId="0" fontId="19" fillId="0" borderId="74" xfId="0" applyFont="1" applyBorder="1" applyAlignment="1">
      <alignment horizontal="right"/>
    </xf>
    <xf numFmtId="170" fontId="5" fillId="3" borderId="56" xfId="1" applyNumberFormat="1" applyFont="1" applyFill="1" applyBorder="1"/>
    <xf numFmtId="49" fontId="20" fillId="0" borderId="0" xfId="0" applyNumberFormat="1" applyFont="1"/>
    <xf numFmtId="0" fontId="20" fillId="4" borderId="0" xfId="0" applyFont="1" applyFill="1"/>
    <xf numFmtId="0" fontId="3" fillId="0" borderId="0" xfId="0" quotePrefix="1" applyFont="1"/>
    <xf numFmtId="0" fontId="3" fillId="0" borderId="0" xfId="0" applyFont="1" applyAlignment="1">
      <alignment wrapText="1"/>
    </xf>
    <xf numFmtId="169" fontId="3" fillId="0" borderId="0" xfId="0" applyNumberFormat="1" applyFont="1"/>
    <xf numFmtId="49" fontId="20" fillId="0" borderId="56" xfId="0" applyNumberFormat="1" applyFont="1" applyBorder="1"/>
    <xf numFmtId="8" fontId="9" fillId="0" borderId="0" xfId="7" applyNumberFormat="1" applyFont="1" applyFill="1" applyBorder="1"/>
    <xf numFmtId="10" fontId="9" fillId="0" borderId="0" xfId="7" applyNumberFormat="1" applyFont="1" applyFill="1" applyBorder="1"/>
    <xf numFmtId="169" fontId="5" fillId="0" borderId="0" xfId="0" applyNumberFormat="1" applyFont="1"/>
    <xf numFmtId="165" fontId="3" fillId="0" borderId="0" xfId="2" applyNumberFormat="1" applyFont="1" applyBorder="1"/>
    <xf numFmtId="49" fontId="8" fillId="0" borderId="52" xfId="0" applyNumberFormat="1" applyFont="1" applyBorder="1"/>
    <xf numFmtId="43" fontId="3" fillId="0" borderId="52" xfId="0" applyNumberFormat="1" applyFont="1" applyBorder="1"/>
    <xf numFmtId="165" fontId="3" fillId="0" borderId="56" xfId="2" applyNumberFormat="1" applyFont="1" applyBorder="1"/>
    <xf numFmtId="14" fontId="57" fillId="0" borderId="0" xfId="13" applyNumberFormat="1" applyFont="1" applyAlignment="1">
      <alignment horizontal="center" wrapText="1"/>
    </xf>
    <xf numFmtId="0" fontId="57" fillId="0" borderId="0" xfId="13" applyFont="1" applyAlignment="1">
      <alignment horizontal="center"/>
    </xf>
    <xf numFmtId="0" fontId="57" fillId="0" borderId="0" xfId="13" applyFont="1" applyAlignment="1">
      <alignment wrapText="1"/>
    </xf>
    <xf numFmtId="171" fontId="57" fillId="0" borderId="0" xfId="13" applyNumberFormat="1" applyFont="1" applyAlignment="1">
      <alignment horizontal="right" wrapText="1"/>
    </xf>
    <xf numFmtId="9" fontId="3" fillId="0" borderId="0" xfId="1" applyNumberFormat="1" applyFont="1"/>
    <xf numFmtId="174" fontId="3" fillId="0" borderId="0" xfId="1" applyNumberFormat="1" applyFont="1" applyFill="1"/>
    <xf numFmtId="10" fontId="3" fillId="0" borderId="0" xfId="7" applyNumberFormat="1" applyFont="1" applyFill="1"/>
    <xf numFmtId="174" fontId="3" fillId="0" borderId="52" xfId="0" applyNumberFormat="1" applyFont="1" applyBorder="1"/>
    <xf numFmtId="1" fontId="3" fillId="0" borderId="56" xfId="0" applyNumberFormat="1" applyFont="1" applyBorder="1"/>
    <xf numFmtId="44" fontId="5" fillId="0" borderId="0" xfId="2" applyFont="1" applyFill="1" applyBorder="1"/>
    <xf numFmtId="44" fontId="3" fillId="0" borderId="0" xfId="0" applyNumberFormat="1" applyFont="1"/>
    <xf numFmtId="44" fontId="3" fillId="0" borderId="0" xfId="2" applyFont="1"/>
    <xf numFmtId="0" fontId="8" fillId="0" borderId="52" xfId="0" applyFont="1" applyBorder="1"/>
    <xf numFmtId="0" fontId="4" fillId="0" borderId="52" xfId="0" applyFont="1" applyBorder="1"/>
    <xf numFmtId="170" fontId="3" fillId="0" borderId="52" xfId="0" applyNumberFormat="1" applyFont="1" applyBorder="1"/>
    <xf numFmtId="43" fontId="3" fillId="0" borderId="0" xfId="1" applyFont="1" applyFill="1" applyBorder="1"/>
    <xf numFmtId="2" fontId="24" fillId="0" borderId="0" xfId="8" applyNumberFormat="1" applyAlignment="1">
      <alignment horizontal="left" vertical="top"/>
    </xf>
    <xf numFmtId="0" fontId="68" fillId="0" borderId="0" xfId="0" applyFont="1"/>
    <xf numFmtId="0" fontId="4" fillId="0" borderId="41" xfId="0" applyFont="1" applyBorder="1"/>
    <xf numFmtId="2" fontId="4" fillId="0" borderId="18" xfId="0" applyNumberFormat="1" applyFont="1" applyBorder="1"/>
    <xf numFmtId="170" fontId="0" fillId="0" borderId="0" xfId="1" applyNumberFormat="1" applyFont="1"/>
    <xf numFmtId="10" fontId="0" fillId="0" borderId="0" xfId="7" applyNumberFormat="1" applyFont="1"/>
    <xf numFmtId="170" fontId="56" fillId="0" borderId="0" xfId="1" applyNumberFormat="1" applyFont="1" applyAlignment="1">
      <alignment horizontal="right"/>
    </xf>
    <xf numFmtId="0" fontId="69" fillId="0" borderId="0" xfId="3" applyFont="1" applyBorder="1"/>
    <xf numFmtId="0" fontId="70" fillId="16" borderId="0" xfId="0" applyFont="1" applyFill="1"/>
    <xf numFmtId="0" fontId="70" fillId="16" borderId="0" xfId="4" applyFont="1" applyFill="1"/>
    <xf numFmtId="0" fontId="15" fillId="0" borderId="0" xfId="0" applyFont="1"/>
    <xf numFmtId="0" fontId="13" fillId="0" borderId="0" xfId="0" applyFont="1"/>
    <xf numFmtId="43" fontId="11" fillId="0" borderId="0" xfId="1" applyFont="1" applyAlignment="1">
      <alignment horizontal="left" vertical="top"/>
    </xf>
    <xf numFmtId="0" fontId="71" fillId="17" borderId="76" xfId="9" applyFont="1" applyFill="1" applyBorder="1" applyAlignment="1">
      <alignment horizontal="center" vertical="center" wrapText="1"/>
    </xf>
    <xf numFmtId="9" fontId="71" fillId="17" borderId="75" xfId="7" applyFont="1" applyFill="1" applyBorder="1" applyAlignment="1">
      <alignment horizontal="center" vertical="center" wrapText="1"/>
    </xf>
    <xf numFmtId="9" fontId="71" fillId="17" borderId="77" xfId="7" applyFont="1" applyFill="1" applyBorder="1" applyAlignment="1">
      <alignment horizontal="center" vertical="center" wrapText="1"/>
    </xf>
    <xf numFmtId="0" fontId="14" fillId="0" borderId="51" xfId="0" applyFont="1" applyBorder="1"/>
    <xf numFmtId="174" fontId="14" fillId="0" borderId="51" xfId="0" applyNumberFormat="1" applyFont="1" applyBorder="1"/>
    <xf numFmtId="174" fontId="14" fillId="0" borderId="21" xfId="0" applyNumberFormat="1" applyFont="1" applyBorder="1"/>
    <xf numFmtId="174" fontId="14" fillId="0" borderId="51" xfId="1" applyNumberFormat="1" applyFont="1" applyBorder="1"/>
    <xf numFmtId="174" fontId="14" fillId="0" borderId="21" xfId="1" applyNumberFormat="1" applyFont="1" applyBorder="1"/>
    <xf numFmtId="43" fontId="14" fillId="0" borderId="51" xfId="0" applyNumberFormat="1" applyFont="1" applyBorder="1"/>
    <xf numFmtId="43" fontId="14" fillId="0" borderId="21" xfId="0" applyNumberFormat="1" applyFont="1" applyBorder="1"/>
    <xf numFmtId="0" fontId="14" fillId="0" borderId="13" xfId="0" applyFont="1" applyBorder="1"/>
    <xf numFmtId="0" fontId="72" fillId="0" borderId="0" xfId="0" applyFont="1"/>
    <xf numFmtId="0" fontId="72" fillId="0" borderId="0" xfId="0" applyFont="1" applyAlignment="1">
      <alignment horizontal="left" vertical="center" wrapText="1"/>
    </xf>
    <xf numFmtId="0" fontId="14" fillId="0" borderId="20" xfId="0" applyFont="1" applyBorder="1"/>
    <xf numFmtId="0" fontId="13" fillId="0" borderId="20" xfId="0" applyFont="1" applyBorder="1"/>
    <xf numFmtId="169" fontId="13" fillId="0" borderId="20" xfId="0" applyNumberFormat="1" applyFont="1" applyBorder="1"/>
    <xf numFmtId="174" fontId="13" fillId="0" borderId="20" xfId="1" applyNumberFormat="1" applyFont="1" applyBorder="1"/>
    <xf numFmtId="2" fontId="14" fillId="0" borderId="20" xfId="0" applyNumberFormat="1" applyFont="1" applyBorder="1"/>
    <xf numFmtId="165" fontId="14" fillId="0" borderId="20" xfId="2" applyNumberFormat="1" applyFont="1" applyBorder="1"/>
    <xf numFmtId="2" fontId="9" fillId="3" borderId="56" xfId="0" applyNumberFormat="1" applyFont="1" applyFill="1" applyBorder="1"/>
    <xf numFmtId="172" fontId="5" fillId="3" borderId="52" xfId="0" applyNumberFormat="1" applyFont="1" applyFill="1" applyBorder="1"/>
    <xf numFmtId="170" fontId="9" fillId="0" borderId="0" xfId="1" applyNumberFormat="1" applyFont="1" applyFill="1" applyBorder="1"/>
    <xf numFmtId="2" fontId="5" fillId="3" borderId="52" xfId="0" applyNumberFormat="1" applyFont="1" applyFill="1" applyBorder="1"/>
    <xf numFmtId="9" fontId="5" fillId="6" borderId="0" xfId="0" applyNumberFormat="1" applyFont="1" applyFill="1"/>
    <xf numFmtId="0" fontId="74" fillId="6" borderId="0" xfId="0" applyFont="1" applyFill="1"/>
    <xf numFmtId="0" fontId="5" fillId="6" borderId="55" xfId="0" applyFont="1" applyFill="1" applyBorder="1"/>
    <xf numFmtId="1" fontId="9" fillId="0" borderId="0" xfId="0" applyNumberFormat="1" applyFont="1"/>
    <xf numFmtId="0" fontId="5" fillId="6" borderId="56" xfId="0" applyFont="1" applyFill="1" applyBorder="1"/>
    <xf numFmtId="0" fontId="74" fillId="6" borderId="56" xfId="0" applyFont="1" applyFill="1" applyBorder="1"/>
    <xf numFmtId="9" fontId="5" fillId="6" borderId="56" xfId="0" applyNumberFormat="1" applyFont="1" applyFill="1" applyBorder="1"/>
    <xf numFmtId="0" fontId="5" fillId="6" borderId="11" xfId="0" applyFont="1" applyFill="1" applyBorder="1"/>
    <xf numFmtId="0" fontId="4" fillId="0" borderId="0" xfId="0" quotePrefix="1" applyFont="1"/>
    <xf numFmtId="2" fontId="5" fillId="3" borderId="0" xfId="0" applyNumberFormat="1" applyFont="1" applyFill="1"/>
    <xf numFmtId="169" fontId="9" fillId="0" borderId="0" xfId="0" applyNumberFormat="1" applyFont="1"/>
    <xf numFmtId="0" fontId="22" fillId="0" borderId="0" xfId="0" applyFont="1"/>
    <xf numFmtId="0" fontId="19" fillId="0" borderId="0" xfId="0" quotePrefix="1" applyFont="1"/>
    <xf numFmtId="2" fontId="9" fillId="0" borderId="0" xfId="0" applyNumberFormat="1" applyFont="1"/>
    <xf numFmtId="9" fontId="9" fillId="6" borderId="0" xfId="0" applyNumberFormat="1" applyFont="1" applyFill="1"/>
    <xf numFmtId="0" fontId="3" fillId="0" borderId="0" xfId="0" applyFont="1" applyAlignment="1">
      <alignment horizontal="right"/>
    </xf>
    <xf numFmtId="0" fontId="0" fillId="0" borderId="0" xfId="0" applyAlignment="1">
      <alignment wrapText="1"/>
    </xf>
    <xf numFmtId="0" fontId="71" fillId="17" borderId="0" xfId="9" applyFont="1" applyFill="1" applyBorder="1" applyAlignment="1">
      <alignment vertical="center" wrapText="1"/>
    </xf>
    <xf numFmtId="0" fontId="14" fillId="0" borderId="20" xfId="0" applyFont="1" applyBorder="1" applyAlignment="1">
      <alignment horizontal="left" vertical="center"/>
    </xf>
    <xf numFmtId="0" fontId="72" fillId="0" borderId="0" xfId="0" applyFont="1" applyAlignment="1">
      <alignment vertical="center" wrapText="1"/>
    </xf>
    <xf numFmtId="172" fontId="14" fillId="0" borderId="20" xfId="7" applyNumberFormat="1" applyFont="1" applyBorder="1"/>
    <xf numFmtId="44" fontId="14" fillId="0" borderId="20" xfId="2" applyFont="1" applyBorder="1"/>
    <xf numFmtId="0" fontId="14" fillId="0" borderId="20" xfId="0" applyFont="1" applyBorder="1" applyAlignment="1">
      <alignment wrapText="1"/>
    </xf>
    <xf numFmtId="169" fontId="14" fillId="0" borderId="20" xfId="0" applyNumberFormat="1" applyFont="1" applyBorder="1"/>
    <xf numFmtId="0" fontId="71" fillId="17" borderId="20" xfId="0" applyFont="1" applyFill="1" applyBorder="1" applyAlignment="1">
      <alignment horizontal="center" vertical="center" wrapText="1"/>
    </xf>
    <xf numFmtId="0" fontId="72" fillId="0" borderId="20" xfId="0" applyFont="1" applyBorder="1" applyAlignment="1">
      <alignment horizontal="left" vertical="center" wrapText="1"/>
    </xf>
    <xf numFmtId="44" fontId="72" fillId="0" borderId="20" xfId="2" applyFont="1" applyBorder="1" applyAlignment="1">
      <alignment horizontal="left" vertical="top" wrapText="1"/>
    </xf>
    <xf numFmtId="179" fontId="76" fillId="0" borderId="20" xfId="0" applyNumberFormat="1" applyFont="1" applyBorder="1"/>
    <xf numFmtId="0" fontId="71" fillId="17" borderId="20" xfId="9" applyFont="1" applyFill="1" applyBorder="1" applyAlignment="1">
      <alignment horizontal="center" vertical="center" wrapText="1"/>
    </xf>
    <xf numFmtId="9" fontId="71" fillId="17" borderId="20" xfId="7" applyFont="1" applyFill="1" applyBorder="1" applyAlignment="1">
      <alignment horizontal="center" vertical="center" wrapText="1"/>
    </xf>
    <xf numFmtId="0" fontId="75" fillId="0" borderId="20" xfId="0" applyFont="1" applyBorder="1" applyAlignment="1">
      <alignment vertical="center"/>
    </xf>
    <xf numFmtId="0" fontId="75" fillId="0" borderId="20" xfId="0" applyFont="1" applyBorder="1" applyAlignment="1">
      <alignment horizontal="center" vertical="center"/>
    </xf>
    <xf numFmtId="0" fontId="0" fillId="0" borderId="20" xfId="0" applyBorder="1"/>
    <xf numFmtId="0" fontId="0" fillId="0" borderId="20" xfId="0" applyBorder="1" applyAlignment="1">
      <alignment wrapText="1"/>
    </xf>
    <xf numFmtId="0" fontId="23" fillId="0" borderId="20" xfId="0" applyFont="1" applyBorder="1" applyAlignment="1">
      <alignment horizontal="center" vertical="center"/>
    </xf>
    <xf numFmtId="0" fontId="72" fillId="0" borderId="20" xfId="0" applyFont="1" applyBorder="1" applyAlignment="1">
      <alignment horizontal="center" vertical="center"/>
    </xf>
    <xf numFmtId="0" fontId="71" fillId="18" borderId="20" xfId="0" applyFont="1" applyFill="1" applyBorder="1" applyAlignment="1">
      <alignment horizontal="center" vertical="center"/>
    </xf>
    <xf numFmtId="10" fontId="14" fillId="0" borderId="20" xfId="7" applyNumberFormat="1" applyFont="1" applyBorder="1" applyAlignment="1">
      <alignment wrapText="1"/>
    </xf>
    <xf numFmtId="44" fontId="14" fillId="0" borderId="20" xfId="2" applyFont="1" applyBorder="1" applyAlignment="1">
      <alignment wrapText="1"/>
    </xf>
    <xf numFmtId="165" fontId="14" fillId="0" borderId="20" xfId="2" applyNumberFormat="1" applyFont="1" applyBorder="1" applyAlignment="1">
      <alignment wrapText="1"/>
    </xf>
    <xf numFmtId="44" fontId="3" fillId="0" borderId="21" xfId="2" applyFont="1" applyBorder="1"/>
    <xf numFmtId="44" fontId="3" fillId="0" borderId="22" xfId="2" applyFont="1" applyBorder="1"/>
    <xf numFmtId="44" fontId="4" fillId="5" borderId="23" xfId="2" applyFont="1" applyFill="1" applyBorder="1"/>
    <xf numFmtId="44" fontId="4" fillId="5" borderId="10" xfId="2" applyFont="1" applyFill="1" applyBorder="1"/>
    <xf numFmtId="2" fontId="14" fillId="0" borderId="20" xfId="0" applyNumberFormat="1" applyFont="1" applyBorder="1" applyAlignment="1">
      <alignment wrapText="1"/>
    </xf>
    <xf numFmtId="0" fontId="46" fillId="0" borderId="0" xfId="0" applyFont="1" applyAlignment="1">
      <alignment horizontal="center" vertical="center"/>
    </xf>
    <xf numFmtId="178" fontId="46" fillId="0" borderId="0" xfId="0" applyNumberFormat="1" applyFont="1" applyAlignment="1">
      <alignment vertical="center"/>
    </xf>
    <xf numFmtId="178" fontId="47" fillId="0" borderId="0" xfId="0" applyNumberFormat="1" applyFont="1" applyAlignment="1">
      <alignment vertical="center"/>
    </xf>
    <xf numFmtId="172" fontId="0" fillId="6" borderId="0" xfId="7" applyNumberFormat="1" applyFont="1" applyFill="1"/>
    <xf numFmtId="165" fontId="5" fillId="3" borderId="0" xfId="2" applyNumberFormat="1" applyFont="1" applyFill="1" applyBorder="1"/>
    <xf numFmtId="0" fontId="4" fillId="0" borderId="51" xfId="0" applyFont="1" applyBorder="1"/>
    <xf numFmtId="165" fontId="3" fillId="0" borderId="52" xfId="2" applyNumberFormat="1" applyFont="1" applyBorder="1"/>
    <xf numFmtId="0" fontId="5" fillId="6" borderId="54" xfId="0" applyFont="1" applyFill="1" applyBorder="1"/>
    <xf numFmtId="43" fontId="3" fillId="0" borderId="14" xfId="0" applyNumberFormat="1" applyFont="1" applyBorder="1"/>
    <xf numFmtId="0" fontId="7" fillId="0" borderId="41" xfId="3" applyFont="1" applyBorder="1" applyAlignment="1">
      <alignment horizontal="center"/>
    </xf>
    <xf numFmtId="0" fontId="7" fillId="0" borderId="17" xfId="3" applyFont="1" applyBorder="1" applyAlignment="1">
      <alignment horizontal="center"/>
    </xf>
    <xf numFmtId="0" fontId="14" fillId="0" borderId="20" xfId="0" applyFont="1" applyBorder="1" applyAlignment="1">
      <alignment horizontal="left" vertical="center"/>
    </xf>
    <xf numFmtId="0" fontId="71" fillId="17" borderId="20" xfId="9" applyFont="1" applyFill="1" applyBorder="1" applyAlignment="1">
      <alignment horizontal="center" vertical="center" wrapText="1"/>
    </xf>
    <xf numFmtId="172" fontId="14" fillId="0" borderId="13" xfId="0" applyNumberFormat="1" applyFont="1" applyBorder="1" applyAlignment="1">
      <alignment horizontal="center"/>
    </xf>
    <xf numFmtId="172" fontId="14" fillId="0" borderId="78" xfId="0" applyNumberFormat="1" applyFont="1" applyBorder="1" applyAlignment="1">
      <alignment horizontal="center"/>
    </xf>
    <xf numFmtId="172" fontId="14" fillId="0" borderId="15" xfId="0" applyNumberFormat="1" applyFont="1" applyBorder="1" applyAlignment="1">
      <alignment horizontal="center"/>
    </xf>
    <xf numFmtId="0" fontId="72" fillId="0" borderId="20" xfId="0" applyFont="1" applyBorder="1" applyAlignment="1">
      <alignment horizontal="left" vertical="center" wrapText="1"/>
    </xf>
    <xf numFmtId="0" fontId="71" fillId="17" borderId="21" xfId="9" applyFont="1" applyFill="1" applyBorder="1" applyAlignment="1">
      <alignment horizontal="center" vertical="center" wrapText="1"/>
    </xf>
    <xf numFmtId="0" fontId="71" fillId="17" borderId="49" xfId="9" applyFont="1" applyFill="1" applyBorder="1" applyAlignment="1">
      <alignment horizontal="center" vertical="center" wrapText="1"/>
    </xf>
    <xf numFmtId="0" fontId="76" fillId="0" borderId="20" xfId="0" applyFont="1" applyBorder="1" applyAlignment="1">
      <alignment horizontal="left" vertical="center" wrapText="1"/>
    </xf>
    <xf numFmtId="0" fontId="0" fillId="0" borderId="20" xfId="0" applyBorder="1" applyAlignment="1">
      <alignment horizontal="center" vertical="center"/>
    </xf>
    <xf numFmtId="0" fontId="0" fillId="0" borderId="13" xfId="0" applyBorder="1" applyAlignment="1">
      <alignment horizontal="left"/>
    </xf>
    <xf numFmtId="0" fontId="0" fillId="0" borderId="15" xfId="0" applyBorder="1" applyAlignment="1">
      <alignment horizontal="left"/>
    </xf>
    <xf numFmtId="0" fontId="14" fillId="0" borderId="34" xfId="8" applyFont="1" applyBorder="1" applyAlignment="1">
      <alignment horizontal="left" vertical="center" wrapText="1"/>
    </xf>
    <xf numFmtId="0" fontId="14" fillId="0" borderId="33" xfId="8" applyFont="1" applyBorder="1" applyAlignment="1">
      <alignment horizontal="left" vertical="center" wrapText="1"/>
    </xf>
    <xf numFmtId="0" fontId="14" fillId="0" borderId="32" xfId="8" applyFont="1" applyBorder="1" applyAlignment="1">
      <alignment horizontal="left" vertical="center" wrapText="1"/>
    </xf>
    <xf numFmtId="0" fontId="14" fillId="0" borderId="31" xfId="8" applyFont="1" applyBorder="1" applyAlignment="1">
      <alignment horizontal="left" vertical="top" wrapText="1"/>
    </xf>
    <xf numFmtId="0" fontId="14" fillId="0" borderId="0" xfId="8" applyFont="1" applyAlignment="1">
      <alignment horizontal="left" vertical="top" wrapText="1"/>
    </xf>
    <xf numFmtId="0" fontId="14" fillId="0" borderId="30" xfId="8" applyFont="1" applyBorder="1" applyAlignment="1">
      <alignment horizontal="left" vertical="top" wrapText="1"/>
    </xf>
    <xf numFmtId="0" fontId="14" fillId="0" borderId="28" xfId="8" applyFont="1" applyBorder="1" applyAlignment="1">
      <alignment horizontal="left" vertical="top" wrapText="1"/>
    </xf>
    <xf numFmtId="0" fontId="14" fillId="0" borderId="27" xfId="8" applyFont="1" applyBorder="1" applyAlignment="1">
      <alignment horizontal="left" vertical="top" wrapText="1"/>
    </xf>
    <xf numFmtId="0" fontId="14" fillId="0" borderId="26" xfId="8" applyFont="1" applyBorder="1" applyAlignment="1">
      <alignment horizontal="left" vertical="top" wrapText="1"/>
    </xf>
    <xf numFmtId="0" fontId="14" fillId="0" borderId="37" xfId="8" applyFont="1" applyBorder="1" applyAlignment="1">
      <alignment horizontal="left" vertical="top" wrapText="1"/>
    </xf>
    <xf numFmtId="0" fontId="14" fillId="0" borderId="36" xfId="8" applyFont="1" applyBorder="1" applyAlignment="1">
      <alignment horizontal="left" vertical="top" wrapText="1"/>
    </xf>
    <xf numFmtId="0" fontId="14" fillId="0" borderId="35" xfId="8" applyFont="1" applyBorder="1" applyAlignment="1">
      <alignment horizontal="left" vertical="top" wrapText="1"/>
    </xf>
    <xf numFmtId="167" fontId="26" fillId="0" borderId="37" xfId="8" applyNumberFormat="1" applyFont="1" applyBorder="1" applyAlignment="1">
      <alignment horizontal="right" vertical="top" shrinkToFit="1"/>
    </xf>
    <xf numFmtId="167" fontId="26" fillId="0" borderId="36" xfId="8" applyNumberFormat="1" applyFont="1" applyBorder="1" applyAlignment="1">
      <alignment horizontal="right" vertical="top" shrinkToFit="1"/>
    </xf>
    <xf numFmtId="167" fontId="26" fillId="0" borderId="35" xfId="8" applyNumberFormat="1" applyFont="1" applyBorder="1" applyAlignment="1">
      <alignment horizontal="right" vertical="top" shrinkToFit="1"/>
    </xf>
    <xf numFmtId="0" fontId="14" fillId="0" borderId="34" xfId="8" applyFont="1" applyBorder="1" applyAlignment="1">
      <alignment horizontal="left" vertical="top" wrapText="1"/>
    </xf>
    <xf numFmtId="0" fontId="14" fillId="0" borderId="33" xfId="8" applyFont="1" applyBorder="1" applyAlignment="1">
      <alignment horizontal="left" vertical="top" wrapText="1"/>
    </xf>
    <xf numFmtId="0" fontId="14" fillId="0" borderId="32" xfId="8" applyFont="1" applyBorder="1" applyAlignment="1">
      <alignment horizontal="left" vertical="top" wrapText="1"/>
    </xf>
    <xf numFmtId="167" fontId="26" fillId="0" borderId="34" xfId="8" applyNumberFormat="1" applyFont="1" applyBorder="1" applyAlignment="1">
      <alignment horizontal="right" vertical="top" shrinkToFit="1"/>
    </xf>
    <xf numFmtId="167" fontId="26" fillId="0" borderId="33" xfId="8" applyNumberFormat="1" applyFont="1" applyBorder="1" applyAlignment="1">
      <alignment horizontal="right" vertical="top" shrinkToFit="1"/>
    </xf>
    <xf numFmtId="167" fontId="26" fillId="0" borderId="32" xfId="8" applyNumberFormat="1" applyFont="1" applyBorder="1" applyAlignment="1">
      <alignment horizontal="right" vertical="top" shrinkToFit="1"/>
    </xf>
    <xf numFmtId="0" fontId="31" fillId="8" borderId="37" xfId="8" applyFont="1" applyFill="1" applyBorder="1" applyAlignment="1">
      <alignment horizontal="left" vertical="top" wrapText="1"/>
    </xf>
    <xf numFmtId="0" fontId="31" fillId="8" borderId="36" xfId="8" applyFont="1" applyFill="1" applyBorder="1" applyAlignment="1">
      <alignment horizontal="left" vertical="top" wrapText="1"/>
    </xf>
    <xf numFmtId="0" fontId="31" fillId="8" borderId="35" xfId="8" applyFont="1" applyFill="1" applyBorder="1" applyAlignment="1">
      <alignment horizontal="left" vertical="top" wrapText="1"/>
    </xf>
    <xf numFmtId="0" fontId="24" fillId="0" borderId="37" xfId="8" applyBorder="1" applyAlignment="1">
      <alignment horizontal="left" wrapText="1"/>
    </xf>
    <xf numFmtId="0" fontId="24" fillId="0" borderId="36" xfId="8" applyBorder="1" applyAlignment="1">
      <alignment horizontal="left" wrapText="1"/>
    </xf>
    <xf numFmtId="0" fontId="24" fillId="0" borderId="35" xfId="8" applyBorder="1" applyAlignment="1">
      <alignment horizontal="left" wrapText="1"/>
    </xf>
    <xf numFmtId="0" fontId="24" fillId="0" borderId="38" xfId="8" applyBorder="1" applyAlignment="1">
      <alignment horizontal="left" vertical="top" wrapText="1"/>
    </xf>
    <xf numFmtId="0" fontId="24" fillId="0" borderId="29" xfId="8" applyBorder="1" applyAlignment="1">
      <alignment horizontal="left" vertical="top" wrapText="1"/>
    </xf>
    <xf numFmtId="0" fontId="24" fillId="0" borderId="25" xfId="8" applyBorder="1" applyAlignment="1">
      <alignment horizontal="left" vertical="top" wrapText="1"/>
    </xf>
    <xf numFmtId="0" fontId="13" fillId="7" borderId="34" xfId="8" applyFont="1" applyFill="1" applyBorder="1" applyAlignment="1">
      <alignment horizontal="left" vertical="top" wrapText="1"/>
    </xf>
    <xf numFmtId="0" fontId="13" fillId="7" borderId="33" xfId="8" applyFont="1" applyFill="1" applyBorder="1" applyAlignment="1">
      <alignment horizontal="left" vertical="top" wrapText="1"/>
    </xf>
    <xf numFmtId="0" fontId="13" fillId="7" borderId="32" xfId="8" applyFont="1" applyFill="1" applyBorder="1" applyAlignment="1">
      <alignment horizontal="left" vertical="top" wrapText="1"/>
    </xf>
    <xf numFmtId="0" fontId="13" fillId="7" borderId="34" xfId="8" applyFont="1" applyFill="1" applyBorder="1" applyAlignment="1">
      <alignment horizontal="left" vertical="top" wrapText="1" indent="2"/>
    </xf>
    <xf numFmtId="0" fontId="13" fillId="7" borderId="33" xfId="8" applyFont="1" applyFill="1" applyBorder="1" applyAlignment="1">
      <alignment horizontal="left" vertical="top" wrapText="1" indent="2"/>
    </xf>
    <xf numFmtId="0" fontId="13" fillId="7" borderId="32" xfId="8" applyFont="1" applyFill="1" applyBorder="1" applyAlignment="1">
      <alignment horizontal="left" vertical="top" wrapText="1" indent="2"/>
    </xf>
    <xf numFmtId="0" fontId="24" fillId="0" borderId="28" xfId="8" applyBorder="1" applyAlignment="1">
      <alignment horizontal="left" wrapText="1"/>
    </xf>
    <xf numFmtId="0" fontId="24" fillId="0" borderId="27" xfId="8" applyBorder="1" applyAlignment="1">
      <alignment horizontal="left" wrapText="1"/>
    </xf>
    <xf numFmtId="0" fontId="24" fillId="0" borderId="26" xfId="8" applyBorder="1" applyAlignment="1">
      <alignment horizontal="left" wrapText="1"/>
    </xf>
    <xf numFmtId="0" fontId="24" fillId="0" borderId="28" xfId="8" applyBorder="1" applyAlignment="1">
      <alignment horizontal="left" vertical="top" wrapText="1"/>
    </xf>
    <xf numFmtId="0" fontId="24" fillId="0" borderId="27" xfId="8" applyBorder="1" applyAlignment="1">
      <alignment horizontal="left" vertical="top" wrapText="1"/>
    </xf>
    <xf numFmtId="0" fontId="24" fillId="0" borderId="26" xfId="8" applyBorder="1" applyAlignment="1">
      <alignment horizontal="left" vertical="top" wrapText="1"/>
    </xf>
    <xf numFmtId="0" fontId="24" fillId="0" borderId="34" xfId="8" applyBorder="1" applyAlignment="1">
      <alignment horizontal="left" wrapText="1"/>
    </xf>
    <xf numFmtId="0" fontId="24" fillId="0" borderId="33" xfId="8" applyBorder="1" applyAlignment="1">
      <alignment horizontal="left" wrapText="1"/>
    </xf>
    <xf numFmtId="0" fontId="24" fillId="0" borderId="32" xfId="8" applyBorder="1" applyAlignment="1">
      <alignment horizontal="left" wrapText="1"/>
    </xf>
    <xf numFmtId="0" fontId="24" fillId="7" borderId="31" xfId="8" applyFill="1" applyBorder="1" applyAlignment="1">
      <alignment horizontal="left" wrapText="1"/>
    </xf>
    <xf numFmtId="0" fontId="24" fillId="7" borderId="0" xfId="8" applyFill="1" applyAlignment="1">
      <alignment horizontal="left" wrapText="1"/>
    </xf>
    <xf numFmtId="0" fontId="24" fillId="7" borderId="30" xfId="8" applyFill="1" applyBorder="1" applyAlignment="1">
      <alignment horizontal="left" wrapText="1"/>
    </xf>
    <xf numFmtId="0" fontId="13" fillId="7" borderId="28" xfId="8" applyFont="1" applyFill="1" applyBorder="1" applyAlignment="1">
      <alignment horizontal="left" vertical="top" wrapText="1" indent="7"/>
    </xf>
    <xf numFmtId="0" fontId="13" fillId="7" borderId="27" xfId="8" applyFont="1" applyFill="1" applyBorder="1" applyAlignment="1">
      <alignment horizontal="left" vertical="top" wrapText="1" indent="7"/>
    </xf>
    <xf numFmtId="0" fontId="13" fillId="7" borderId="26" xfId="8" applyFont="1" applyFill="1" applyBorder="1" applyAlignment="1">
      <alignment horizontal="left" vertical="top" wrapText="1" indent="7"/>
    </xf>
    <xf numFmtId="0" fontId="24" fillId="7" borderId="28" xfId="8" applyFill="1" applyBorder="1" applyAlignment="1">
      <alignment horizontal="left" wrapText="1"/>
    </xf>
    <xf numFmtId="0" fontId="24" fillId="7" borderId="27" xfId="8" applyFill="1" applyBorder="1" applyAlignment="1">
      <alignment horizontal="left" wrapText="1"/>
    </xf>
    <xf numFmtId="0" fontId="24" fillId="7" borderId="26" xfId="8" applyFill="1" applyBorder="1" applyAlignment="1">
      <alignment horizontal="left" wrapText="1"/>
    </xf>
    <xf numFmtId="0" fontId="13" fillId="7" borderId="37" xfId="8" applyFont="1" applyFill="1" applyBorder="1" applyAlignment="1">
      <alignment horizontal="right" vertical="top" wrapText="1"/>
    </xf>
    <xf numFmtId="0" fontId="13" fillId="7" borderId="36" xfId="8" applyFont="1" applyFill="1" applyBorder="1" applyAlignment="1">
      <alignment horizontal="right" vertical="top" wrapText="1"/>
    </xf>
    <xf numFmtId="0" fontId="13" fillId="7" borderId="35" xfId="8" applyFont="1" applyFill="1" applyBorder="1" applyAlignment="1">
      <alignment horizontal="right" vertical="top" wrapText="1"/>
    </xf>
    <xf numFmtId="0" fontId="14" fillId="0" borderId="37" xfId="8" applyFont="1" applyBorder="1" applyAlignment="1">
      <alignment horizontal="center" vertical="top" wrapText="1"/>
    </xf>
    <xf numFmtId="0" fontId="14" fillId="0" borderId="36" xfId="8" applyFont="1" applyBorder="1" applyAlignment="1">
      <alignment horizontal="center" vertical="top" wrapText="1"/>
    </xf>
    <xf numFmtId="0" fontId="14" fillId="0" borderId="35" xfId="8" applyFont="1" applyBorder="1" applyAlignment="1">
      <alignment horizontal="center" vertical="top" wrapText="1"/>
    </xf>
    <xf numFmtId="0" fontId="24" fillId="0" borderId="37" xfId="8" applyBorder="1" applyAlignment="1">
      <alignment horizontal="left" vertical="top" wrapText="1"/>
    </xf>
    <xf numFmtId="0" fontId="24" fillId="0" borderId="36" xfId="8" applyBorder="1" applyAlignment="1">
      <alignment horizontal="left" vertical="top" wrapText="1"/>
    </xf>
    <xf numFmtId="0" fontId="24" fillId="0" borderId="35" xfId="8" applyBorder="1" applyAlignment="1">
      <alignment horizontal="left" vertical="top" wrapText="1"/>
    </xf>
    <xf numFmtId="0" fontId="24" fillId="0" borderId="34" xfId="8" applyBorder="1" applyAlignment="1">
      <alignment horizontal="left" vertical="top" wrapText="1"/>
    </xf>
    <xf numFmtId="0" fontId="24" fillId="0" borderId="33" xfId="8" applyBorder="1" applyAlignment="1">
      <alignment horizontal="left" vertical="top" wrapText="1"/>
    </xf>
    <xf numFmtId="0" fontId="24" fillId="0" borderId="32" xfId="8" applyBorder="1" applyAlignment="1">
      <alignment horizontal="left" vertical="top" wrapText="1"/>
    </xf>
    <xf numFmtId="0" fontId="24" fillId="0" borderId="31" xfId="8" applyBorder="1" applyAlignment="1">
      <alignment horizontal="left" vertical="top" wrapText="1"/>
    </xf>
    <xf numFmtId="0" fontId="24" fillId="0" borderId="0" xfId="8" applyAlignment="1">
      <alignment horizontal="left" vertical="top" wrapText="1"/>
    </xf>
    <xf numFmtId="0" fontId="24" fillId="0" borderId="30" xfId="8" applyBorder="1" applyAlignment="1">
      <alignment horizontal="left" vertical="top" wrapText="1"/>
    </xf>
    <xf numFmtId="0" fontId="13" fillId="7" borderId="37" xfId="8" applyFont="1" applyFill="1" applyBorder="1" applyAlignment="1">
      <alignment horizontal="left" vertical="top" wrapText="1"/>
    </xf>
    <xf numFmtId="0" fontId="13" fillId="7" borderId="35" xfId="8" applyFont="1" applyFill="1" applyBorder="1" applyAlignment="1">
      <alignment horizontal="left" vertical="top" wrapText="1"/>
    </xf>
    <xf numFmtId="0" fontId="24" fillId="7" borderId="37" xfId="8" applyFill="1" applyBorder="1" applyAlignment="1">
      <alignment horizontal="left" vertical="top" wrapText="1" indent="1"/>
    </xf>
    <xf numFmtId="0" fontId="24" fillId="7" borderId="36" xfId="8" applyFill="1" applyBorder="1" applyAlignment="1">
      <alignment horizontal="left" vertical="top" wrapText="1" indent="1"/>
    </xf>
    <xf numFmtId="0" fontId="24" fillId="7" borderId="35" xfId="8" applyFill="1" applyBorder="1" applyAlignment="1">
      <alignment horizontal="left" vertical="top" wrapText="1" indent="1"/>
    </xf>
    <xf numFmtId="0" fontId="13" fillId="7" borderId="37" xfId="8" applyFont="1" applyFill="1" applyBorder="1" applyAlignment="1">
      <alignment horizontal="left" vertical="top" wrapText="1" indent="1"/>
    </xf>
    <xf numFmtId="0" fontId="13" fillId="7" borderId="36" xfId="8" applyFont="1" applyFill="1" applyBorder="1" applyAlignment="1">
      <alignment horizontal="left" vertical="top" wrapText="1" indent="1"/>
    </xf>
    <xf numFmtId="0" fontId="13" fillId="7" borderId="35" xfId="8" applyFont="1" applyFill="1" applyBorder="1" applyAlignment="1">
      <alignment horizontal="left" vertical="top" wrapText="1" indent="1"/>
    </xf>
    <xf numFmtId="0" fontId="13" fillId="7" borderId="36" xfId="8" applyFont="1" applyFill="1" applyBorder="1" applyAlignment="1">
      <alignment horizontal="left" vertical="top" wrapText="1"/>
    </xf>
    <xf numFmtId="0" fontId="24" fillId="7" borderId="37" xfId="8" applyFill="1" applyBorder="1" applyAlignment="1">
      <alignment horizontal="right" vertical="top" wrapText="1"/>
    </xf>
    <xf numFmtId="0" fontId="24" fillId="7" borderId="36" xfId="8" applyFill="1" applyBorder="1" applyAlignment="1">
      <alignment horizontal="right" vertical="top" wrapText="1"/>
    </xf>
    <xf numFmtId="0" fontId="24" fillId="7" borderId="35" xfId="8" applyFill="1" applyBorder="1" applyAlignment="1">
      <alignment horizontal="right" vertical="top" wrapText="1"/>
    </xf>
    <xf numFmtId="0" fontId="14" fillId="0" borderId="37" xfId="8" applyFont="1" applyBorder="1" applyAlignment="1">
      <alignment horizontal="right" vertical="top" wrapText="1"/>
    </xf>
    <xf numFmtId="0" fontId="14" fillId="0" borderId="36" xfId="8" applyFont="1" applyBorder="1" applyAlignment="1">
      <alignment horizontal="right" vertical="top" wrapText="1"/>
    </xf>
    <xf numFmtId="0" fontId="14" fillId="0" borderId="35" xfId="8" applyFont="1" applyBorder="1" applyAlignment="1">
      <alignment horizontal="right" vertical="top" wrapText="1"/>
    </xf>
    <xf numFmtId="0" fontId="13" fillId="7" borderId="28" xfId="8" applyFont="1" applyFill="1" applyBorder="1" applyAlignment="1">
      <alignment horizontal="left" vertical="top" wrapText="1"/>
    </xf>
    <xf numFmtId="0" fontId="13" fillId="7" borderId="27" xfId="8" applyFont="1" applyFill="1" applyBorder="1" applyAlignment="1">
      <alignment horizontal="left" vertical="top" wrapText="1"/>
    </xf>
    <xf numFmtId="0" fontId="13" fillId="7" borderId="26" xfId="8" applyFont="1" applyFill="1" applyBorder="1" applyAlignment="1">
      <alignment horizontal="left" vertical="top" wrapText="1"/>
    </xf>
    <xf numFmtId="0" fontId="13" fillId="7" borderId="37" xfId="8" applyFont="1" applyFill="1" applyBorder="1" applyAlignment="1">
      <alignment horizontal="left" vertical="top" wrapText="1" indent="4"/>
    </xf>
    <xf numFmtId="0" fontId="13" fillId="7" borderId="36" xfId="8" applyFont="1" applyFill="1" applyBorder="1" applyAlignment="1">
      <alignment horizontal="left" vertical="top" wrapText="1" indent="4"/>
    </xf>
    <xf numFmtId="0" fontId="13" fillId="7" borderId="35" xfId="8" applyFont="1" applyFill="1" applyBorder="1" applyAlignment="1">
      <alignment horizontal="left" vertical="top" wrapText="1" indent="4"/>
    </xf>
    <xf numFmtId="0" fontId="13" fillId="7" borderId="37" xfId="8" applyFont="1" applyFill="1" applyBorder="1" applyAlignment="1">
      <alignment horizontal="left" vertical="top" wrapText="1" indent="3"/>
    </xf>
    <xf numFmtId="0" fontId="13" fillId="7" borderId="36" xfId="8" applyFont="1" applyFill="1" applyBorder="1" applyAlignment="1">
      <alignment horizontal="left" vertical="top" wrapText="1" indent="3"/>
    </xf>
    <xf numFmtId="0" fontId="13" fillId="7" borderId="35" xfId="8" applyFont="1" applyFill="1" applyBorder="1" applyAlignment="1">
      <alignment horizontal="left" vertical="top" wrapText="1" indent="3"/>
    </xf>
    <xf numFmtId="0" fontId="24" fillId="0" borderId="37" xfId="8" applyBorder="1" applyAlignment="1">
      <alignment horizontal="right" vertical="top" wrapText="1"/>
    </xf>
    <xf numFmtId="0" fontId="24" fillId="0" borderId="36" xfId="8" applyBorder="1" applyAlignment="1">
      <alignment horizontal="right" vertical="top" wrapText="1"/>
    </xf>
    <xf numFmtId="0" fontId="24" fillId="0" borderId="35" xfId="8" applyBorder="1" applyAlignment="1">
      <alignment horizontal="right" vertical="top" wrapText="1"/>
    </xf>
    <xf numFmtId="167" fontId="26" fillId="0" borderId="37" xfId="8" applyNumberFormat="1" applyFont="1" applyBorder="1" applyAlignment="1">
      <alignment horizontal="right" vertical="center" shrinkToFit="1"/>
    </xf>
    <xf numFmtId="167" fontId="26" fillId="0" borderId="36" xfId="8" applyNumberFormat="1" applyFont="1" applyBorder="1" applyAlignment="1">
      <alignment horizontal="right" vertical="center" shrinkToFit="1"/>
    </xf>
    <xf numFmtId="167" fontId="26" fillId="0" borderId="35" xfId="8" applyNumberFormat="1" applyFont="1" applyBorder="1" applyAlignment="1">
      <alignment horizontal="right" vertical="center" shrinkToFit="1"/>
    </xf>
    <xf numFmtId="0" fontId="13" fillId="0" borderId="37" xfId="8" applyFont="1" applyBorder="1" applyAlignment="1">
      <alignment horizontal="left" vertical="top" wrapText="1"/>
    </xf>
    <xf numFmtId="0" fontId="13" fillId="0" borderId="36" xfId="8" applyFont="1" applyBorder="1" applyAlignment="1">
      <alignment horizontal="left" vertical="top" wrapText="1"/>
    </xf>
    <xf numFmtId="0" fontId="13" fillId="0" borderId="35" xfId="8" applyFont="1" applyBorder="1" applyAlignment="1">
      <alignment horizontal="left" vertical="top" wrapText="1"/>
    </xf>
    <xf numFmtId="1" fontId="26" fillId="0" borderId="37" xfId="8" applyNumberFormat="1" applyFont="1" applyBorder="1" applyAlignment="1">
      <alignment horizontal="center" vertical="top" shrinkToFit="1"/>
    </xf>
    <xf numFmtId="1" fontId="26" fillId="0" borderId="36" xfId="8" applyNumberFormat="1" applyFont="1" applyBorder="1" applyAlignment="1">
      <alignment horizontal="center" vertical="top" shrinkToFit="1"/>
    </xf>
    <xf numFmtId="1" fontId="26" fillId="0" borderId="35" xfId="8" applyNumberFormat="1" applyFont="1" applyBorder="1" applyAlignment="1">
      <alignment horizontal="center" vertical="top" shrinkToFit="1"/>
    </xf>
    <xf numFmtId="2" fontId="26" fillId="0" borderId="37" xfId="8" applyNumberFormat="1" applyFont="1" applyBorder="1" applyAlignment="1">
      <alignment horizontal="right" vertical="top" indent="6" shrinkToFit="1"/>
    </xf>
    <xf numFmtId="2" fontId="26" fillId="0" borderId="36" xfId="8" applyNumberFormat="1" applyFont="1" applyBorder="1" applyAlignment="1">
      <alignment horizontal="right" vertical="top" indent="6" shrinkToFit="1"/>
    </xf>
    <xf numFmtId="2" fontId="26" fillId="0" borderId="35" xfId="8" applyNumberFormat="1" applyFont="1" applyBorder="1" applyAlignment="1">
      <alignment horizontal="right" vertical="top" indent="6" shrinkToFit="1"/>
    </xf>
    <xf numFmtId="0" fontId="24" fillId="0" borderId="28" xfId="8" applyBorder="1" applyAlignment="1">
      <alignment horizontal="left" vertical="center" wrapText="1"/>
    </xf>
    <xf numFmtId="0" fontId="24" fillId="0" borderId="27" xfId="8" applyBorder="1" applyAlignment="1">
      <alignment horizontal="left" vertical="center" wrapText="1"/>
    </xf>
    <xf numFmtId="0" fontId="24" fillId="0" borderId="26" xfId="8" applyBorder="1" applyAlignment="1">
      <alignment horizontal="left" vertical="center" wrapText="1"/>
    </xf>
    <xf numFmtId="1" fontId="26" fillId="0" borderId="37" xfId="8" applyNumberFormat="1" applyFont="1" applyBorder="1" applyAlignment="1">
      <alignment horizontal="left" vertical="top" shrinkToFit="1"/>
    </xf>
    <xf numFmtId="1" fontId="26" fillId="0" borderId="35" xfId="8" applyNumberFormat="1" applyFont="1" applyBorder="1" applyAlignment="1">
      <alignment horizontal="left" vertical="top" shrinkToFit="1"/>
    </xf>
    <xf numFmtId="166" fontId="26" fillId="0" borderId="37" xfId="8" applyNumberFormat="1" applyFont="1" applyBorder="1" applyAlignment="1">
      <alignment horizontal="right" vertical="top" shrinkToFit="1"/>
    </xf>
    <xf numFmtId="166" fontId="26" fillId="0" borderId="36" xfId="8" applyNumberFormat="1" applyFont="1" applyBorder="1" applyAlignment="1">
      <alignment horizontal="right" vertical="top" shrinkToFit="1"/>
    </xf>
    <xf numFmtId="166" fontId="26" fillId="0" borderId="35" xfId="8" applyNumberFormat="1" applyFont="1" applyBorder="1" applyAlignment="1">
      <alignment horizontal="right" vertical="top" shrinkToFit="1"/>
    </xf>
    <xf numFmtId="166" fontId="26" fillId="0" borderId="37" xfId="8" applyNumberFormat="1" applyFont="1" applyBorder="1" applyAlignment="1">
      <alignment horizontal="center" vertical="top" shrinkToFit="1"/>
    </xf>
    <xf numFmtId="166" fontId="26" fillId="0" borderId="36" xfId="8" applyNumberFormat="1" applyFont="1" applyBorder="1" applyAlignment="1">
      <alignment horizontal="center" vertical="top" shrinkToFit="1"/>
    </xf>
    <xf numFmtId="166" fontId="26" fillId="0" borderId="35" xfId="8" applyNumberFormat="1" applyFont="1" applyBorder="1" applyAlignment="1">
      <alignment horizontal="center" vertical="top" shrinkToFit="1"/>
    </xf>
    <xf numFmtId="168" fontId="26" fillId="0" borderId="37" xfId="8" applyNumberFormat="1" applyFont="1" applyBorder="1" applyAlignment="1">
      <alignment horizontal="center" vertical="top" shrinkToFit="1"/>
    </xf>
    <xf numFmtId="168" fontId="26" fillId="0" borderId="36" xfId="8" applyNumberFormat="1" applyFont="1" applyBorder="1" applyAlignment="1">
      <alignment horizontal="center" vertical="top" shrinkToFit="1"/>
    </xf>
    <xf numFmtId="168" fontId="26" fillId="0" borderId="35" xfId="8" applyNumberFormat="1" applyFont="1" applyBorder="1" applyAlignment="1">
      <alignment horizontal="center" vertical="top" shrinkToFit="1"/>
    </xf>
    <xf numFmtId="0" fontId="24" fillId="7" borderId="37" xfId="8" applyFill="1" applyBorder="1" applyAlignment="1">
      <alignment horizontal="left" vertical="top" wrapText="1"/>
    </xf>
    <xf numFmtId="0" fontId="24" fillId="7" borderId="35" xfId="8" applyFill="1" applyBorder="1" applyAlignment="1">
      <alignment horizontal="left" vertical="top" wrapText="1"/>
    </xf>
    <xf numFmtId="0" fontId="24" fillId="7" borderId="37" xfId="8" applyFill="1" applyBorder="1" applyAlignment="1">
      <alignment horizontal="center" vertical="top" wrapText="1"/>
    </xf>
    <xf numFmtId="0" fontId="24" fillId="7" borderId="36" xfId="8" applyFill="1" applyBorder="1" applyAlignment="1">
      <alignment horizontal="center" vertical="top" wrapText="1"/>
    </xf>
    <xf numFmtId="0" fontId="24" fillId="7" borderId="35" xfId="8" applyFill="1" applyBorder="1" applyAlignment="1">
      <alignment horizontal="center" vertical="top" wrapText="1"/>
    </xf>
    <xf numFmtId="0" fontId="14" fillId="0" borderId="37" xfId="8" applyFont="1" applyBorder="1" applyAlignment="1">
      <alignment horizontal="left" vertical="top" wrapText="1" indent="1"/>
    </xf>
    <xf numFmtId="0" fontId="14" fillId="0" borderId="36" xfId="8" applyFont="1" applyBorder="1" applyAlignment="1">
      <alignment horizontal="left" vertical="top" wrapText="1" indent="1"/>
    </xf>
    <xf numFmtId="0" fontId="14" fillId="0" borderId="35" xfId="8" applyFont="1" applyBorder="1" applyAlignment="1">
      <alignment horizontal="left" vertical="top" wrapText="1" indent="1"/>
    </xf>
    <xf numFmtId="167" fontId="26" fillId="0" borderId="31" xfId="8" applyNumberFormat="1" applyFont="1" applyBorder="1" applyAlignment="1">
      <alignment horizontal="right" vertical="top" shrinkToFit="1"/>
    </xf>
    <xf numFmtId="167" fontId="26" fillId="0" borderId="0" xfId="8" applyNumberFormat="1" applyFont="1" applyAlignment="1">
      <alignment horizontal="right" vertical="top" shrinkToFit="1"/>
    </xf>
    <xf numFmtId="167" fontId="26" fillId="0" borderId="30" xfId="8" applyNumberFormat="1" applyFont="1" applyBorder="1" applyAlignment="1">
      <alignment horizontal="right" vertical="top" shrinkToFit="1"/>
    </xf>
    <xf numFmtId="167" fontId="26" fillId="0" borderId="28" xfId="8" applyNumberFormat="1" applyFont="1" applyBorder="1" applyAlignment="1">
      <alignment horizontal="right" vertical="top" shrinkToFit="1"/>
    </xf>
    <xf numFmtId="167" fontId="26" fillId="0" borderId="27" xfId="8" applyNumberFormat="1" applyFont="1" applyBorder="1" applyAlignment="1">
      <alignment horizontal="right" vertical="top" shrinkToFit="1"/>
    </xf>
    <xf numFmtId="167" fontId="26" fillId="0" borderId="26" xfId="8" applyNumberFormat="1" applyFont="1" applyBorder="1" applyAlignment="1">
      <alignment horizontal="right" vertical="top" shrinkToFit="1"/>
    </xf>
    <xf numFmtId="0" fontId="39" fillId="0" borderId="0" xfId="8" applyFont="1" applyAlignment="1">
      <alignment horizontal="left" vertical="center" wrapText="1"/>
    </xf>
    <xf numFmtId="0" fontId="13" fillId="7" borderId="37" xfId="8" applyFont="1" applyFill="1" applyBorder="1" applyAlignment="1">
      <alignment horizontal="left" vertical="top" wrapText="1" indent="2"/>
    </xf>
    <xf numFmtId="0" fontId="13" fillId="7" borderId="36" xfId="8" applyFont="1" applyFill="1" applyBorder="1" applyAlignment="1">
      <alignment horizontal="left" vertical="top" wrapText="1" indent="2"/>
    </xf>
    <xf numFmtId="0" fontId="13" fillId="7" borderId="35" xfId="8" applyFont="1" applyFill="1" applyBorder="1" applyAlignment="1">
      <alignment horizontal="left" vertical="top" wrapText="1" indent="2"/>
    </xf>
    <xf numFmtId="0" fontId="24" fillId="0" borderId="37" xfId="8" applyBorder="1" applyAlignment="1">
      <alignment horizontal="left" vertical="top" wrapText="1" indent="1"/>
    </xf>
    <xf numFmtId="0" fontId="24" fillId="0" borderId="36" xfId="8" applyBorder="1" applyAlignment="1">
      <alignment horizontal="left" vertical="top" wrapText="1" indent="1"/>
    </xf>
    <xf numFmtId="0" fontId="24" fillId="0" borderId="35" xfId="8" applyBorder="1" applyAlignment="1">
      <alignment horizontal="left" vertical="top" wrapText="1" indent="1"/>
    </xf>
    <xf numFmtId="2" fontId="26" fillId="0" borderId="37" xfId="8" applyNumberFormat="1" applyFont="1" applyBorder="1" applyAlignment="1">
      <alignment horizontal="right" vertical="top" shrinkToFit="1"/>
    </xf>
    <xf numFmtId="2" fontId="26" fillId="0" borderId="36" xfId="8" applyNumberFormat="1" applyFont="1" applyBorder="1" applyAlignment="1">
      <alignment horizontal="right" vertical="top" shrinkToFit="1"/>
    </xf>
    <xf numFmtId="2" fontId="26" fillId="0" borderId="35" xfId="8" applyNumberFormat="1" applyFont="1" applyBorder="1" applyAlignment="1">
      <alignment horizontal="right" vertical="top" shrinkToFit="1"/>
    </xf>
    <xf numFmtId="0" fontId="14" fillId="0" borderId="31" xfId="8" applyFont="1" applyBorder="1" applyAlignment="1">
      <alignment horizontal="left" vertical="center" wrapText="1"/>
    </xf>
    <xf numFmtId="0" fontId="14" fillId="0" borderId="0" xfId="8" applyFont="1" applyAlignment="1">
      <alignment horizontal="left" vertical="center" wrapText="1"/>
    </xf>
    <xf numFmtId="0" fontId="14" fillId="0" borderId="30" xfId="8" applyFont="1" applyBorder="1" applyAlignment="1">
      <alignment horizontal="left" vertical="center" wrapText="1"/>
    </xf>
    <xf numFmtId="0" fontId="24" fillId="0" borderId="31" xfId="8" applyBorder="1" applyAlignment="1">
      <alignment horizontal="left" vertical="center" wrapText="1"/>
    </xf>
    <xf numFmtId="0" fontId="24" fillId="0" borderId="0" xfId="8" applyAlignment="1">
      <alignment horizontal="left" vertical="center" wrapText="1"/>
    </xf>
    <xf numFmtId="0" fontId="24" fillId="0" borderId="30" xfId="8" applyBorder="1" applyAlignment="1">
      <alignment horizontal="left" vertical="center" wrapText="1"/>
    </xf>
    <xf numFmtId="0" fontId="15" fillId="0" borderId="34" xfId="8" applyFont="1" applyBorder="1" applyAlignment="1">
      <alignment horizontal="left" vertical="top" wrapText="1"/>
    </xf>
    <xf numFmtId="0" fontId="15" fillId="0" borderId="33" xfId="8" applyFont="1" applyBorder="1" applyAlignment="1">
      <alignment horizontal="left" vertical="top" wrapText="1"/>
    </xf>
    <xf numFmtId="0" fontId="15" fillId="0" borderId="32" xfId="8" applyFont="1" applyBorder="1" applyAlignment="1">
      <alignment horizontal="left" vertical="top" wrapText="1"/>
    </xf>
    <xf numFmtId="0" fontId="15" fillId="0" borderId="31" xfId="8" applyFont="1" applyBorder="1" applyAlignment="1">
      <alignment horizontal="left" vertical="top" wrapText="1"/>
    </xf>
    <xf numFmtId="0" fontId="15" fillId="0" borderId="0" xfId="8" applyFont="1" applyAlignment="1">
      <alignment horizontal="left" vertical="top" wrapText="1"/>
    </xf>
    <xf numFmtId="0" fontId="15" fillId="0" borderId="30" xfId="8" applyFont="1" applyBorder="1" applyAlignment="1">
      <alignment horizontal="left" vertical="top" wrapText="1"/>
    </xf>
    <xf numFmtId="0" fontId="15" fillId="0" borderId="28" xfId="8" applyFont="1" applyBorder="1" applyAlignment="1">
      <alignment horizontal="left" vertical="top" wrapText="1"/>
    </xf>
    <xf numFmtId="0" fontId="15" fillId="0" borderId="27" xfId="8" applyFont="1" applyBorder="1" applyAlignment="1">
      <alignment horizontal="left" vertical="top" wrapText="1"/>
    </xf>
    <xf numFmtId="0" fontId="15" fillId="0" borderId="26" xfId="8" applyFont="1" applyBorder="1" applyAlignment="1">
      <alignment horizontal="left" vertical="top" wrapText="1"/>
    </xf>
    <xf numFmtId="166" fontId="26" fillId="0" borderId="37" xfId="8" applyNumberFormat="1" applyFont="1" applyBorder="1" applyAlignment="1">
      <alignment horizontal="left" vertical="top" indent="5" shrinkToFit="1"/>
    </xf>
    <xf numFmtId="166" fontId="26" fillId="0" borderId="36" xfId="8" applyNumberFormat="1" applyFont="1" applyBorder="1" applyAlignment="1">
      <alignment horizontal="left" vertical="top" indent="5" shrinkToFit="1"/>
    </xf>
    <xf numFmtId="166" fontId="26" fillId="0" borderId="35" xfId="8" applyNumberFormat="1" applyFont="1" applyBorder="1" applyAlignment="1">
      <alignment horizontal="left" vertical="top" indent="5" shrinkToFit="1"/>
    </xf>
    <xf numFmtId="0" fontId="24" fillId="0" borderId="29" xfId="8" applyBorder="1" applyAlignment="1">
      <alignment horizontal="left" vertical="center" wrapText="1"/>
    </xf>
    <xf numFmtId="166" fontId="26" fillId="0" borderId="37" xfId="8" applyNumberFormat="1" applyFont="1" applyBorder="1" applyAlignment="1">
      <alignment horizontal="left" vertical="top" indent="3" shrinkToFit="1"/>
    </xf>
    <xf numFmtId="166" fontId="26" fillId="0" borderId="36" xfId="8" applyNumberFormat="1" applyFont="1" applyBorder="1" applyAlignment="1">
      <alignment horizontal="left" vertical="top" indent="3" shrinkToFit="1"/>
    </xf>
    <xf numFmtId="166" fontId="26" fillId="0" borderId="35" xfId="8" applyNumberFormat="1" applyFont="1" applyBorder="1" applyAlignment="1">
      <alignment horizontal="left" vertical="top" indent="3" shrinkToFit="1"/>
    </xf>
    <xf numFmtId="0" fontId="24" fillId="0" borderId="31" xfId="8" applyBorder="1" applyAlignment="1">
      <alignment horizontal="left" vertical="top" wrapText="1" indent="5"/>
    </xf>
    <xf numFmtId="0" fontId="24" fillId="0" borderId="0" xfId="8" applyAlignment="1">
      <alignment horizontal="left" vertical="top" wrapText="1" indent="5"/>
    </xf>
    <xf numFmtId="0" fontId="24" fillId="0" borderId="30" xfId="8" applyBorder="1" applyAlignment="1">
      <alignment horizontal="left" vertical="top" wrapText="1" indent="5"/>
    </xf>
    <xf numFmtId="0" fontId="13" fillId="7" borderId="37" xfId="8" applyFont="1" applyFill="1" applyBorder="1" applyAlignment="1">
      <alignment horizontal="left" vertical="top" wrapText="1" indent="5"/>
    </xf>
    <xf numFmtId="0" fontId="13" fillId="7" borderId="36" xfId="8" applyFont="1" applyFill="1" applyBorder="1" applyAlignment="1">
      <alignment horizontal="left" vertical="top" wrapText="1" indent="5"/>
    </xf>
    <xf numFmtId="0" fontId="13" fillId="7" borderId="35" xfId="8" applyFont="1" applyFill="1" applyBorder="1" applyAlignment="1">
      <alignment horizontal="left" vertical="top" wrapText="1" indent="5"/>
    </xf>
    <xf numFmtId="166" fontId="26" fillId="0" borderId="37" xfId="8" applyNumberFormat="1" applyFont="1" applyBorder="1" applyAlignment="1">
      <alignment horizontal="left" vertical="top" indent="6" shrinkToFit="1"/>
    </xf>
    <xf numFmtId="166" fontId="26" fillId="0" borderId="36" xfId="8" applyNumberFormat="1" applyFont="1" applyBorder="1" applyAlignment="1">
      <alignment horizontal="left" vertical="top" indent="6" shrinkToFit="1"/>
    </xf>
    <xf numFmtId="166" fontId="26" fillId="0" borderId="35" xfId="8" applyNumberFormat="1" applyFont="1" applyBorder="1" applyAlignment="1">
      <alignment horizontal="left" vertical="top" indent="6" shrinkToFit="1"/>
    </xf>
    <xf numFmtId="0" fontId="41" fillId="9" borderId="40" xfId="0" applyFont="1" applyFill="1" applyBorder="1" applyAlignment="1">
      <alignment horizontal="center" vertical="center" wrapText="1"/>
    </xf>
    <xf numFmtId="0" fontId="41" fillId="9" borderId="43" xfId="0" applyFont="1" applyFill="1" applyBorder="1" applyAlignment="1">
      <alignment horizontal="center" vertical="center" wrapText="1"/>
    </xf>
    <xf numFmtId="0" fontId="43" fillId="9" borderId="17" xfId="0" applyFont="1" applyFill="1" applyBorder="1" applyAlignment="1">
      <alignment horizontal="center" vertical="center" wrapText="1"/>
    </xf>
    <xf numFmtId="0" fontId="43" fillId="9" borderId="42" xfId="0" applyFont="1" applyFill="1" applyBorder="1" applyAlignment="1">
      <alignment horizontal="center" vertical="center" wrapText="1"/>
    </xf>
    <xf numFmtId="0" fontId="17" fillId="11" borderId="48" xfId="10" applyFont="1" applyFill="1" applyBorder="1" applyAlignment="1">
      <alignment horizontal="center" vertical="center"/>
    </xf>
    <xf numFmtId="0" fontId="17" fillId="11" borderId="21" xfId="10" applyFont="1" applyFill="1" applyBorder="1" applyAlignment="1">
      <alignment horizontal="center" vertical="center"/>
    </xf>
    <xf numFmtId="0" fontId="17" fillId="11" borderId="7" xfId="10" applyFont="1" applyFill="1" applyBorder="1" applyAlignment="1">
      <alignment horizontal="center" vertical="center" wrapText="1"/>
    </xf>
    <xf numFmtId="0" fontId="17" fillId="11" borderId="22" xfId="10" applyFont="1" applyFill="1" applyBorder="1" applyAlignment="1">
      <alignment horizontal="center" vertical="center" wrapText="1"/>
    </xf>
    <xf numFmtId="0" fontId="23" fillId="0" borderId="40" xfId="0" applyFont="1" applyBorder="1" applyAlignment="1">
      <alignment horizontal="center" vertical="center" wrapText="1"/>
    </xf>
    <xf numFmtId="0" fontId="23" fillId="0" borderId="24" xfId="0" applyFont="1" applyBorder="1" applyAlignment="1">
      <alignment horizontal="center" vertical="center" wrapText="1"/>
    </xf>
    <xf numFmtId="0" fontId="23" fillId="0" borderId="59" xfId="0" applyFont="1" applyBorder="1" applyAlignment="1">
      <alignment horizontal="center" vertical="center" wrapText="1"/>
    </xf>
    <xf numFmtId="0" fontId="23" fillId="0" borderId="41"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40" xfId="0" applyFont="1" applyBorder="1" applyAlignment="1">
      <alignment horizontal="center" vertical="center"/>
    </xf>
    <xf numFmtId="0" fontId="23" fillId="0" borderId="24" xfId="0" applyFont="1" applyBorder="1" applyAlignment="1">
      <alignment horizontal="center" vertical="center"/>
    </xf>
    <xf numFmtId="0" fontId="23" fillId="0" borderId="59" xfId="0" applyFont="1" applyBorder="1" applyAlignment="1">
      <alignment horizontal="center" vertical="center"/>
    </xf>
    <xf numFmtId="0" fontId="50" fillId="12" borderId="0" xfId="0" applyFont="1" applyFill="1" applyAlignment="1">
      <alignment horizontal="center"/>
    </xf>
    <xf numFmtId="173" fontId="0" fillId="6" borderId="0" xfId="7" applyNumberFormat="1" applyFont="1" applyFill="1" applyAlignment="1">
      <alignment horizontal="center"/>
    </xf>
    <xf numFmtId="0" fontId="1" fillId="0" borderId="0" xfId="10" applyAlignment="1">
      <alignment horizontal="left" vertical="center"/>
    </xf>
    <xf numFmtId="0" fontId="51" fillId="0" borderId="0" xfId="0" applyFont="1" applyAlignment="1">
      <alignment horizontal="center"/>
    </xf>
    <xf numFmtId="0" fontId="1" fillId="0" borderId="50" xfId="10" applyBorder="1" applyAlignment="1">
      <alignment horizontal="left" vertical="center"/>
    </xf>
    <xf numFmtId="0" fontId="0" fillId="0" borderId="0" xfId="0" applyAlignment="1">
      <alignment horizontal="left" wrapText="1"/>
    </xf>
    <xf numFmtId="0" fontId="65" fillId="0" borderId="0" xfId="0" applyFont="1" applyAlignment="1"/>
    <xf numFmtId="0" fontId="0" fillId="0" borderId="0" xfId="0" applyAlignment="1"/>
  </cellXfs>
  <cellStyles count="20">
    <cellStyle name="20% - Accent1" xfId="4" builtinId="30"/>
    <cellStyle name="Body: normal cell" xfId="18" xr:uid="{1DE18A7E-8BCA-4F30-911A-698CD5195569}"/>
    <cellStyle name="Comma" xfId="1" builtinId="3"/>
    <cellStyle name="Currency" xfId="2" builtinId="4"/>
    <cellStyle name="Font: Calibri, 9pt regular" xfId="14" xr:uid="{5A248D6A-B755-4176-B01A-1EF902AF2EAD}"/>
    <cellStyle name="Footnotes: top row" xfId="19" xr:uid="{95ABF0D6-2796-4ADA-AF65-68F5549C331B}"/>
    <cellStyle name="Header: bottom row" xfId="15" xr:uid="{45A12CA9-7F47-4320-9240-C562C135E97E}"/>
    <cellStyle name="Heading 1" xfId="3" builtinId="16"/>
    <cellStyle name="Heading 2" xfId="9" builtinId="17"/>
    <cellStyle name="Hyperlink" xfId="5" builtinId="8"/>
    <cellStyle name="Normal" xfId="0" builtinId="0"/>
    <cellStyle name="Normal 2" xfId="6" xr:uid="{632B60C4-5029-4154-B209-926F418E5AAF}"/>
    <cellStyle name="Normal 2 2" xfId="10" xr:uid="{6FF10FA4-F494-4C14-A7E7-F38B6BA4B192}"/>
    <cellStyle name="Normal 3" xfId="8" xr:uid="{AAC2C69E-7F3B-4D27-9342-260C94829821}"/>
    <cellStyle name="Normal 4" xfId="13" xr:uid="{28C6262E-C61A-4496-9D08-0CEBAE4B4785}"/>
    <cellStyle name="Parent row" xfId="17" xr:uid="{931BCA16-3485-4371-B1D3-34E2D5F13DDC}"/>
    <cellStyle name="Percent" xfId="7" builtinId="5"/>
    <cellStyle name="Percent 2" xfId="12" xr:uid="{F104A161-110C-47EF-B37B-10791B225543}"/>
    <cellStyle name="Percent 3" xfId="11" xr:uid="{98F028A2-0B9B-4ED1-AC38-189E65E51586}"/>
    <cellStyle name="Table title" xfId="16" xr:uid="{70299FAC-0AC4-475E-8A49-F77206B33DA5}"/>
  </cellStyles>
  <dxfs count="16">
    <dxf>
      <fill>
        <patternFill patternType="solid">
          <fgColor indexed="64"/>
          <bgColor theme="0"/>
        </patternFill>
      </fill>
      <border diagonalUp="0" diagonalDown="0">
        <left style="thin">
          <color indexed="64"/>
        </left>
        <right/>
        <top style="thin">
          <color indexed="64"/>
        </top>
        <bottom style="thin">
          <color indexed="64"/>
        </bottom>
        <vertical/>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9" formatCode="m/d/yyyy"/>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71" formatCode="&quot;$&quot;#,##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71" formatCode="&quot;$&quot;#,##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numFmt numFmtId="19" formatCode="m/d/yyyy"/>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color rgb="FFFF0000"/>
      </font>
      <numFmt numFmtId="30" formatCode="@"/>
      <fill>
        <patternFill>
          <bgColor rgb="FFFFFF00"/>
        </patternFill>
      </fill>
    </dxf>
    <dxf>
      <font>
        <b/>
        <i val="0"/>
        <color rgb="FFFF0000"/>
      </font>
      <numFmt numFmtId="30" formatCode="@"/>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Net Present Value of Benefits &amp; Costs (7% disc. rate)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10"/>
          <c:order val="0"/>
          <c:tx>
            <c:strRef>
              <c:f>Summary!$B$84</c:f>
              <c:strCache>
                <c:ptCount val="1"/>
                <c:pt idx="0">
                  <c:v>Residual Value</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c:spPr>
          <c:invertIfNegative val="0"/>
          <c:cat>
            <c:numRef>
              <c:f>Summary!$F$39:$AR$39</c:f>
              <c:numCache>
                <c:formatCode>0</c:formatCode>
                <c:ptCount val="3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numCache>
            </c:numRef>
          </c:cat>
          <c:val>
            <c:numRef>
              <c:f>Summary!$F$84:$AR$84</c:f>
              <c:numCache>
                <c:formatCode>_(* #,##0.00_);_(* \(#,##0.00\);_(*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0.930182893966914</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A-2257-4F6B-AB63-3DBAF1870A6A}"/>
            </c:ext>
          </c:extLst>
        </c:ser>
        <c:ser>
          <c:idx val="9"/>
          <c:order val="1"/>
          <c:tx>
            <c:strRef>
              <c:f>Summary!$B$83</c:f>
              <c:strCache>
                <c:ptCount val="1"/>
                <c:pt idx="0">
                  <c:v>Reduced Bridge Hits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c:spPr>
          <c:invertIfNegative val="0"/>
          <c:cat>
            <c:numRef>
              <c:f>Summary!$F$39:$AR$39</c:f>
              <c:numCache>
                <c:formatCode>0</c:formatCode>
                <c:ptCount val="3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numCache>
            </c:numRef>
          </c:cat>
          <c:val>
            <c:numRef>
              <c:f>Summary!$F$83:$AR$83</c:f>
              <c:numCache>
                <c:formatCode>_(* #,##0.00_);_(* \(#,##0.00\);_(* "-"??_);_(@_)</c:formatCode>
                <c:ptCount val="39"/>
                <c:pt idx="0">
                  <c:v>0</c:v>
                </c:pt>
                <c:pt idx="1">
                  <c:v>0</c:v>
                </c:pt>
                <c:pt idx="2">
                  <c:v>0</c:v>
                </c:pt>
                <c:pt idx="3">
                  <c:v>0</c:v>
                </c:pt>
                <c:pt idx="4">
                  <c:v>0</c:v>
                </c:pt>
                <c:pt idx="5">
                  <c:v>0</c:v>
                </c:pt>
                <c:pt idx="6">
                  <c:v>0</c:v>
                </c:pt>
                <c:pt idx="7">
                  <c:v>0</c:v>
                </c:pt>
                <c:pt idx="8">
                  <c:v>0</c:v>
                </c:pt>
                <c:pt idx="9">
                  <c:v>1.0018379285153549E-3</c:v>
                </c:pt>
                <c:pt idx="10">
                  <c:v>9.3629712945360257E-4</c:v>
                </c:pt>
                <c:pt idx="11">
                  <c:v>8.7504404621832025E-4</c:v>
                </c:pt>
                <c:pt idx="12">
                  <c:v>8.1779817403581333E-4</c:v>
                </c:pt>
                <c:pt idx="13">
                  <c:v>7.6429735891197505E-4</c:v>
                </c:pt>
                <c:pt idx="14">
                  <c:v>7.142965971139953E-4</c:v>
                </c:pt>
                <c:pt idx="15">
                  <c:v>6.6756691319064991E-4</c:v>
                </c:pt>
                <c:pt idx="16">
                  <c:v>6.2389431139313074E-4</c:v>
                </c:pt>
                <c:pt idx="17">
                  <c:v>5.8307879569451473E-4</c:v>
                </c:pt>
                <c:pt idx="18">
                  <c:v>5.4493345392010717E-4</c:v>
                </c:pt>
                <c:pt idx="19">
                  <c:v>5.0928360179449273E-4</c:v>
                </c:pt>
                <c:pt idx="20">
                  <c:v>4.7596598298550724E-4</c:v>
                </c:pt>
                <c:pt idx="21">
                  <c:v>4.4482802148178242E-4</c:v>
                </c:pt>
                <c:pt idx="22">
                  <c:v>4.1572712288017046E-4</c:v>
                </c:pt>
                <c:pt idx="23">
                  <c:v>3.8853002138333694E-4</c:v>
                </c:pt>
                <c:pt idx="24">
                  <c:v>3.6311216951713732E-4</c:v>
                </c:pt>
                <c:pt idx="25">
                  <c:v>3.3935716777302554E-4</c:v>
                </c:pt>
                <c:pt idx="26">
                  <c:v>3.171562315635752E-4</c:v>
                </c:pt>
                <c:pt idx="27">
                  <c:v>2.9640769305007029E-4</c:v>
                </c:pt>
                <c:pt idx="28">
                  <c:v>2.7701653556081335E-4</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9-2257-4F6B-AB63-3DBAF1870A6A}"/>
            </c:ext>
          </c:extLst>
        </c:ser>
        <c:ser>
          <c:idx val="4"/>
          <c:order val="2"/>
          <c:tx>
            <c:strRef>
              <c:f>Summary!$B$82</c:f>
              <c:strCache>
                <c:ptCount val="1"/>
                <c:pt idx="0">
                  <c:v>Pedestrian / Cycling Improvments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cat>
            <c:numRef>
              <c:f>Summary!$F$39:$AR$39</c:f>
              <c:numCache>
                <c:formatCode>0</c:formatCode>
                <c:ptCount val="3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numCache>
            </c:numRef>
          </c:cat>
          <c:val>
            <c:numRef>
              <c:f>Summary!$F$82:$AR$82</c:f>
              <c:numCache>
                <c:formatCode>_(* #,##0.00_);_(* \(#,##0.00\);_(* "-"??_);_(@_)</c:formatCode>
                <c:ptCount val="39"/>
                <c:pt idx="0">
                  <c:v>0</c:v>
                </c:pt>
                <c:pt idx="1">
                  <c:v>0</c:v>
                </c:pt>
                <c:pt idx="2">
                  <c:v>0</c:v>
                </c:pt>
                <c:pt idx="3">
                  <c:v>0</c:v>
                </c:pt>
                <c:pt idx="4">
                  <c:v>0</c:v>
                </c:pt>
                <c:pt idx="5">
                  <c:v>0</c:v>
                </c:pt>
                <c:pt idx="6">
                  <c:v>0</c:v>
                </c:pt>
                <c:pt idx="7">
                  <c:v>0</c:v>
                </c:pt>
                <c:pt idx="8">
                  <c:v>0</c:v>
                </c:pt>
                <c:pt idx="9">
                  <c:v>6.9113205761068552E-2</c:v>
                </c:pt>
                <c:pt idx="10">
                  <c:v>6.4940528511218315E-2</c:v>
                </c:pt>
                <c:pt idx="11">
                  <c:v>6.1019774685259168E-2</c:v>
                </c:pt>
                <c:pt idx="12">
                  <c:v>5.7335734525113785E-2</c:v>
                </c:pt>
                <c:pt idx="13">
                  <c:v>5.3874116554685915E-2</c:v>
                </c:pt>
                <c:pt idx="14">
                  <c:v>5.0621492139018197E-2</c:v>
                </c:pt>
                <c:pt idx="15">
                  <c:v>4.7565243390664862E-2</c:v>
                </c:pt>
                <c:pt idx="16">
                  <c:v>4.4693514221192339E-2</c:v>
                </c:pt>
                <c:pt idx="17">
                  <c:v>4.1995164347922866E-2</c:v>
                </c:pt>
                <c:pt idx="18">
                  <c:v>3.945972607749889E-2</c:v>
                </c:pt>
                <c:pt idx="19">
                  <c:v>3.7077363698619782E-2</c:v>
                </c:pt>
                <c:pt idx="20">
                  <c:v>3.483883532642261E-2</c:v>
                </c:pt>
                <c:pt idx="21">
                  <c:v>3.2735457050490718E-2</c:v>
                </c:pt>
                <c:pt idx="22">
                  <c:v>3.0759069247409312E-2</c:v>
                </c:pt>
                <c:pt idx="23">
                  <c:v>2.890200492718455E-2</c:v>
                </c:pt>
                <c:pt idx="24">
                  <c:v>2.7157059990732833E-2</c:v>
                </c:pt>
                <c:pt idx="25">
                  <c:v>2.5517465283060044E-2</c:v>
                </c:pt>
                <c:pt idx="26">
                  <c:v>2.3976860333716973E-2</c:v>
                </c:pt>
                <c:pt idx="27">
                  <c:v>2.2529268682662435E-2</c:v>
                </c:pt>
                <c:pt idx="28">
                  <c:v>2.1169074695815669E-2</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4-2257-4F6B-AB63-3DBAF1870A6A}"/>
            </c:ext>
          </c:extLst>
        </c:ser>
        <c:ser>
          <c:idx val="3"/>
          <c:order val="3"/>
          <c:tx>
            <c:strRef>
              <c:f>Summary!$B$81</c:f>
              <c:strCache>
                <c:ptCount val="1"/>
                <c:pt idx="0">
                  <c:v>Emmisions Reduction</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numRef>
              <c:f>Summary!$F$39:$AR$39</c:f>
              <c:numCache>
                <c:formatCode>0</c:formatCode>
                <c:ptCount val="3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numCache>
            </c:numRef>
          </c:cat>
          <c:val>
            <c:numRef>
              <c:f>Summary!$F$81:$AR$81</c:f>
              <c:numCache>
                <c:formatCode>_(* #,##0.00_);_(* \(#,##0.00\);_(* "-"??_);_(@_)</c:formatCode>
                <c:ptCount val="39"/>
                <c:pt idx="0">
                  <c:v>0</c:v>
                </c:pt>
                <c:pt idx="1">
                  <c:v>0</c:v>
                </c:pt>
                <c:pt idx="2">
                  <c:v>0</c:v>
                </c:pt>
                <c:pt idx="3">
                  <c:v>0</c:v>
                </c:pt>
                <c:pt idx="4">
                  <c:v>0</c:v>
                </c:pt>
                <c:pt idx="5">
                  <c:v>0</c:v>
                </c:pt>
                <c:pt idx="6">
                  <c:v>0</c:v>
                </c:pt>
                <c:pt idx="7">
                  <c:v>0</c:v>
                </c:pt>
                <c:pt idx="8">
                  <c:v>0</c:v>
                </c:pt>
                <c:pt idx="9">
                  <c:v>3.3565022695024997E-3</c:v>
                </c:pt>
                <c:pt idx="10">
                  <c:v>3.5140968032272876E-3</c:v>
                </c:pt>
                <c:pt idx="11">
                  <c:v>3.6665881125394944E-3</c:v>
                </c:pt>
                <c:pt idx="12">
                  <c:v>3.7790050909784403E-3</c:v>
                </c:pt>
                <c:pt idx="13">
                  <c:v>3.8103222053750899E-3</c:v>
                </c:pt>
                <c:pt idx="14">
                  <c:v>3.8223036829810458E-3</c:v>
                </c:pt>
                <c:pt idx="15">
                  <c:v>3.8173441411354452E-3</c:v>
                </c:pt>
                <c:pt idx="16">
                  <c:v>3.7976071869042578E-3</c:v>
                </c:pt>
                <c:pt idx="17">
                  <c:v>3.7650454134527962E-3</c:v>
                </c:pt>
                <c:pt idx="18">
                  <c:v>3.7231527429472957E-3</c:v>
                </c:pt>
                <c:pt idx="19">
                  <c:v>3.670083796714707E-3</c:v>
                </c:pt>
                <c:pt idx="20">
                  <c:v>3.6089543155469008E-3</c:v>
                </c:pt>
                <c:pt idx="21">
                  <c:v>3.5410422750295125E-3</c:v>
                </c:pt>
                <c:pt idx="22">
                  <c:v>3.4674925963968147E-3</c:v>
                </c:pt>
                <c:pt idx="23">
                  <c:v>3.3912198015903232E-3</c:v>
                </c:pt>
                <c:pt idx="24">
                  <c:v>3.3093777988830921E-3</c:v>
                </c:pt>
                <c:pt idx="25">
                  <c:v>3.2246463932527124E-3</c:v>
                </c:pt>
                <c:pt idx="26">
                  <c:v>3.1377484315446061E-3</c:v>
                </c:pt>
                <c:pt idx="27">
                  <c:v>3.0493242866998006E-3</c:v>
                </c:pt>
                <c:pt idx="28">
                  <c:v>2.9619111966845686E-3</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3-2257-4F6B-AB63-3DBAF1870A6A}"/>
            </c:ext>
          </c:extLst>
        </c:ser>
        <c:ser>
          <c:idx val="2"/>
          <c:order val="4"/>
          <c:tx>
            <c:strRef>
              <c:f>Summary!$B$80</c:f>
              <c:strCache>
                <c:ptCount val="1"/>
                <c:pt idx="0">
                  <c:v>Reduced Vehicle Operating Costs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Summary!$F$39:$AR$39</c:f>
              <c:numCache>
                <c:formatCode>0</c:formatCode>
                <c:ptCount val="3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numCache>
            </c:numRef>
          </c:cat>
          <c:val>
            <c:numRef>
              <c:f>Summary!$F$80:$AR$80</c:f>
              <c:numCache>
                <c:formatCode>_(* #,##0.00_);_(* \(#,##0.00\);_(* "-"??_);_(@_)</c:formatCode>
                <c:ptCount val="39"/>
                <c:pt idx="0">
                  <c:v>0</c:v>
                </c:pt>
                <c:pt idx="1">
                  <c:v>0</c:v>
                </c:pt>
                <c:pt idx="2">
                  <c:v>0</c:v>
                </c:pt>
                <c:pt idx="3">
                  <c:v>0</c:v>
                </c:pt>
                <c:pt idx="4">
                  <c:v>0</c:v>
                </c:pt>
                <c:pt idx="5">
                  <c:v>0</c:v>
                </c:pt>
                <c:pt idx="6">
                  <c:v>0</c:v>
                </c:pt>
                <c:pt idx="7">
                  <c:v>0</c:v>
                </c:pt>
                <c:pt idx="8">
                  <c:v>0</c:v>
                </c:pt>
                <c:pt idx="9">
                  <c:v>3.2563722171053841E-2</c:v>
                </c:pt>
                <c:pt idx="10">
                  <c:v>3.3806713859051214E-2</c:v>
                </c:pt>
                <c:pt idx="11">
                  <c:v>3.469412387700057E-2</c:v>
                </c:pt>
                <c:pt idx="12">
                  <c:v>3.5923284150603828E-2</c:v>
                </c:pt>
                <c:pt idx="13">
                  <c:v>3.7280333595850687E-2</c:v>
                </c:pt>
                <c:pt idx="14">
                  <c:v>3.7682765297057989E-2</c:v>
                </c:pt>
                <c:pt idx="15">
                  <c:v>3.7848982394434606E-2</c:v>
                </c:pt>
                <c:pt idx="16">
                  <c:v>3.7854959788109023E-2</c:v>
                </c:pt>
                <c:pt idx="17">
                  <c:v>3.7583213717746103E-2</c:v>
                </c:pt>
                <c:pt idx="18">
                  <c:v>3.7327380857059111E-2</c:v>
                </c:pt>
                <c:pt idx="19">
                  <c:v>3.6946679561153745E-2</c:v>
                </c:pt>
                <c:pt idx="20">
                  <c:v>3.6636932562394149E-2</c:v>
                </c:pt>
                <c:pt idx="21">
                  <c:v>3.5882542871978611E-2</c:v>
                </c:pt>
                <c:pt idx="22">
                  <c:v>3.5324712689749196E-2</c:v>
                </c:pt>
                <c:pt idx="23">
                  <c:v>3.4657589910951497E-2</c:v>
                </c:pt>
                <c:pt idx="24">
                  <c:v>3.3783594074385005E-2</c:v>
                </c:pt>
                <c:pt idx="25">
                  <c:v>3.315949962021749E-2</c:v>
                </c:pt>
                <c:pt idx="26">
                  <c:v>3.2485783365235492E-2</c:v>
                </c:pt>
                <c:pt idx="27">
                  <c:v>3.1580052529414621E-2</c:v>
                </c:pt>
                <c:pt idx="28">
                  <c:v>3.0807965798052842E-2</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2-2257-4F6B-AB63-3DBAF1870A6A}"/>
            </c:ext>
          </c:extLst>
        </c:ser>
        <c:ser>
          <c:idx val="1"/>
          <c:order val="5"/>
          <c:tx>
            <c:strRef>
              <c:f>Summary!$B$79</c:f>
              <c:strCache>
                <c:ptCount val="1"/>
                <c:pt idx="0">
                  <c:v>Travel Time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Summary!$F$39:$AR$39</c:f>
              <c:numCache>
                <c:formatCode>0</c:formatCode>
                <c:ptCount val="3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numCache>
            </c:numRef>
          </c:cat>
          <c:val>
            <c:numRef>
              <c:f>Summary!$F$79:$AR$79</c:f>
              <c:numCache>
                <c:formatCode>_(* #,##0.00_);_(* \(#,##0.00\);_(* "-"??_);_(@_)</c:formatCode>
                <c:ptCount val="39"/>
                <c:pt idx="0">
                  <c:v>0</c:v>
                </c:pt>
                <c:pt idx="1">
                  <c:v>0</c:v>
                </c:pt>
                <c:pt idx="2">
                  <c:v>0</c:v>
                </c:pt>
                <c:pt idx="3">
                  <c:v>0</c:v>
                </c:pt>
                <c:pt idx="4">
                  <c:v>0</c:v>
                </c:pt>
                <c:pt idx="5">
                  <c:v>0</c:v>
                </c:pt>
                <c:pt idx="6">
                  <c:v>0</c:v>
                </c:pt>
                <c:pt idx="7">
                  <c:v>0</c:v>
                </c:pt>
                <c:pt idx="8">
                  <c:v>0</c:v>
                </c:pt>
                <c:pt idx="9">
                  <c:v>1.123325595297449</c:v>
                </c:pt>
                <c:pt idx="10">
                  <c:v>1.1047611135384321</c:v>
                </c:pt>
                <c:pt idx="11">
                  <c:v>1.0838347044012837</c:v>
                </c:pt>
                <c:pt idx="12">
                  <c:v>1.0609338476486139</c:v>
                </c:pt>
                <c:pt idx="13">
                  <c:v>1.0364054944686425</c:v>
                </c:pt>
                <c:pt idx="14">
                  <c:v>1.0105597082402225</c:v>
                </c:pt>
                <c:pt idx="15">
                  <c:v>0.98367300261470936</c:v>
                </c:pt>
                <c:pt idx="16">
                  <c:v>0.95599140092272317</c:v>
                </c:pt>
                <c:pt idx="17">
                  <c:v>0.92773323906886529</c:v>
                </c:pt>
                <c:pt idx="18">
                  <c:v>0.89909173237105033</c:v>
                </c:pt>
                <c:pt idx="19">
                  <c:v>0.87023732522310115</c:v>
                </c:pt>
                <c:pt idx="20">
                  <c:v>0.84131984100009582</c:v>
                </c:pt>
                <c:pt idx="21">
                  <c:v>0.81247044827689807</c:v>
                </c:pt>
                <c:pt idx="22">
                  <c:v>0.78380345818313801</c:v>
                </c:pt>
                <c:pt idx="23">
                  <c:v>0.75541796656514193</c:v>
                </c:pt>
                <c:pt idx="24">
                  <c:v>0.7273993535598714</c:v>
                </c:pt>
                <c:pt idx="25">
                  <c:v>0.69982065220137701</c:v>
                </c:pt>
                <c:pt idx="26">
                  <c:v>0.6727437967705352</c:v>
                </c:pt>
                <c:pt idx="27">
                  <c:v>0.64622076075840318</c:v>
                </c:pt>
                <c:pt idx="28">
                  <c:v>0.62029459353715088</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1-2257-4F6B-AB63-3DBAF1870A6A}"/>
            </c:ext>
          </c:extLst>
        </c:ser>
        <c:ser>
          <c:idx val="0"/>
          <c:order val="6"/>
          <c:tx>
            <c:strRef>
              <c:f>Summary!$B$78</c:f>
              <c:strCache>
                <c:ptCount val="1"/>
                <c:pt idx="0">
                  <c:v>Safety Benefits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Summary!$F$39:$AR$39</c:f>
              <c:numCache>
                <c:formatCode>0</c:formatCode>
                <c:ptCount val="3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numCache>
            </c:numRef>
          </c:cat>
          <c:val>
            <c:numRef>
              <c:f>Summary!$F$78:$AR$78</c:f>
              <c:numCache>
                <c:formatCode>_(* #,##0.00_);_(* \(#,##0.00\);_(* "-"??_);_(@_)</c:formatCode>
                <c:ptCount val="39"/>
                <c:pt idx="0">
                  <c:v>0</c:v>
                </c:pt>
                <c:pt idx="1">
                  <c:v>0</c:v>
                </c:pt>
                <c:pt idx="2">
                  <c:v>0</c:v>
                </c:pt>
                <c:pt idx="3">
                  <c:v>0</c:v>
                </c:pt>
                <c:pt idx="4">
                  <c:v>0</c:v>
                </c:pt>
                <c:pt idx="5">
                  <c:v>0</c:v>
                </c:pt>
                <c:pt idx="6">
                  <c:v>0</c:v>
                </c:pt>
                <c:pt idx="7">
                  <c:v>0</c:v>
                </c:pt>
                <c:pt idx="8">
                  <c:v>0</c:v>
                </c:pt>
                <c:pt idx="9">
                  <c:v>0.11778250660442009</c:v>
                </c:pt>
                <c:pt idx="10">
                  <c:v>0.11190948848300558</c:v>
                </c:pt>
                <c:pt idx="11">
                  <c:v>0.10632931810994391</c:v>
                </c:pt>
                <c:pt idx="12">
                  <c:v>0.10102739314586846</c:v>
                </c:pt>
                <c:pt idx="13">
                  <c:v>9.5989839371455166E-2</c:v>
                </c:pt>
                <c:pt idx="14">
                  <c:v>9.1203474380993424E-2</c:v>
                </c:pt>
                <c:pt idx="15">
                  <c:v>8.6655773086313725E-2</c:v>
                </c:pt>
                <c:pt idx="16">
                  <c:v>8.2334834940801294E-2</c:v>
                </c:pt>
                <c:pt idx="17">
                  <c:v>7.8229352797726817E-2</c:v>
                </c:pt>
                <c:pt idx="18">
                  <c:v>7.4328583321401687E-2</c:v>
                </c:pt>
                <c:pt idx="19">
                  <c:v>7.0622318873729634E-2</c:v>
                </c:pt>
                <c:pt idx="20">
                  <c:v>6.7100860802585427E-2</c:v>
                </c:pt>
                <c:pt idx="21">
                  <c:v>6.3754994062122344E-2</c:v>
                </c:pt>
                <c:pt idx="22">
                  <c:v>6.0575963098593276E-2</c:v>
                </c:pt>
                <c:pt idx="23">
                  <c:v>5.7555448938582804E-2</c:v>
                </c:pt>
                <c:pt idx="24">
                  <c:v>5.4685547419694953E-2</c:v>
                </c:pt>
                <c:pt idx="25">
                  <c:v>5.1958748506728929E-2</c:v>
                </c:pt>
                <c:pt idx="26">
                  <c:v>4.9367916639218079E-2</c:v>
                </c:pt>
                <c:pt idx="27">
                  <c:v>4.6906272058903728E-2</c:v>
                </c:pt>
                <c:pt idx="28">
                  <c:v>4.4567373068282269E-2</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2257-4F6B-AB63-3DBAF1870A6A}"/>
            </c:ext>
          </c:extLst>
        </c:ser>
        <c:ser>
          <c:idx val="12"/>
          <c:order val="7"/>
          <c:tx>
            <c:strRef>
              <c:f>Summary!$B$89</c:f>
              <c:strCache>
                <c:ptCount val="1"/>
                <c:pt idx="0">
                  <c:v>Maintenance</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c:spPr>
          <c:invertIfNegative val="0"/>
          <c:cat>
            <c:numRef>
              <c:f>Summary!$F$39:$AR$39</c:f>
              <c:numCache>
                <c:formatCode>0</c:formatCode>
                <c:ptCount val="3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numCache>
            </c:numRef>
          </c:cat>
          <c:val>
            <c:numRef>
              <c:f>Summary!$F$89:$AR$89</c:f>
              <c:numCache>
                <c:formatCode>_(* #,##0.00_);_(* \(#,##0.00\);_(* "-"??_);_(@_)</c:formatCode>
                <c:ptCount val="39"/>
                <c:pt idx="0">
                  <c:v>0</c:v>
                </c:pt>
                <c:pt idx="1">
                  <c:v>0</c:v>
                </c:pt>
                <c:pt idx="2">
                  <c:v>0</c:v>
                </c:pt>
                <c:pt idx="3">
                  <c:v>0</c:v>
                </c:pt>
                <c:pt idx="4">
                  <c:v>0</c:v>
                </c:pt>
                <c:pt idx="5">
                  <c:v>0</c:v>
                </c:pt>
                <c:pt idx="6">
                  <c:v>0</c:v>
                </c:pt>
                <c:pt idx="7">
                  <c:v>0</c:v>
                </c:pt>
                <c:pt idx="8">
                  <c:v>0</c:v>
                </c:pt>
                <c:pt idx="9">
                  <c:v>-0.2103450945537377</c:v>
                </c:pt>
                <c:pt idx="10">
                  <c:v>0</c:v>
                </c:pt>
                <c:pt idx="11">
                  <c:v>0</c:v>
                </c:pt>
                <c:pt idx="12">
                  <c:v>0.79082073601993719</c:v>
                </c:pt>
                <c:pt idx="13">
                  <c:v>0</c:v>
                </c:pt>
                <c:pt idx="14">
                  <c:v>0</c:v>
                </c:pt>
                <c:pt idx="15">
                  <c:v>0</c:v>
                </c:pt>
                <c:pt idx="16">
                  <c:v>0</c:v>
                </c:pt>
                <c:pt idx="17">
                  <c:v>0.34977931465962642</c:v>
                </c:pt>
                <c:pt idx="18">
                  <c:v>0</c:v>
                </c:pt>
                <c:pt idx="19">
                  <c:v>0</c:v>
                </c:pt>
                <c:pt idx="20">
                  <c:v>0</c:v>
                </c:pt>
                <c:pt idx="21">
                  <c:v>0</c:v>
                </c:pt>
                <c:pt idx="22">
                  <c:v>0</c:v>
                </c:pt>
                <c:pt idx="23">
                  <c:v>0</c:v>
                </c:pt>
                <c:pt idx="24">
                  <c:v>0</c:v>
                </c:pt>
                <c:pt idx="25">
                  <c:v>0</c:v>
                </c:pt>
                <c:pt idx="26">
                  <c:v>0</c:v>
                </c:pt>
                <c:pt idx="27">
                  <c:v>0.28662982802106757</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C-2257-4F6B-AB63-3DBAF1870A6A}"/>
            </c:ext>
          </c:extLst>
        </c:ser>
        <c:ser>
          <c:idx val="11"/>
          <c:order val="8"/>
          <c:tx>
            <c:strRef>
              <c:f>Summary!$B$88</c:f>
              <c:strCache>
                <c:ptCount val="1"/>
                <c:pt idx="0">
                  <c:v>Capital Cost</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c:spPr>
          <c:invertIfNegative val="0"/>
          <c:cat>
            <c:numRef>
              <c:f>Summary!$F$39:$AR$39</c:f>
              <c:numCache>
                <c:formatCode>0</c:formatCode>
                <c:ptCount val="3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numCache>
            </c:numRef>
          </c:cat>
          <c:val>
            <c:numRef>
              <c:f>Summary!$F$88:$AR$88</c:f>
              <c:numCache>
                <c:formatCode>_(* #,##0.00_);_(* \(#,##0.00\);_(* "-"??_);_(@_)</c:formatCode>
                <c:ptCount val="39"/>
                <c:pt idx="0">
                  <c:v>0</c:v>
                </c:pt>
                <c:pt idx="1">
                  <c:v>0</c:v>
                </c:pt>
                <c:pt idx="2">
                  <c:v>0</c:v>
                </c:pt>
                <c:pt idx="3">
                  <c:v>0</c:v>
                </c:pt>
                <c:pt idx="4">
                  <c:v>0</c:v>
                </c:pt>
                <c:pt idx="5">
                  <c:v>0</c:v>
                </c:pt>
                <c:pt idx="6">
                  <c:v>-1.1857211549159614</c:v>
                </c:pt>
                <c:pt idx="7">
                  <c:v>-5.106054375984816</c:v>
                </c:pt>
                <c:pt idx="8">
                  <c:v>-9.5440275140546582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B-2257-4F6B-AB63-3DBAF1870A6A}"/>
            </c:ext>
          </c:extLst>
        </c:ser>
        <c:dLbls>
          <c:showLegendKey val="0"/>
          <c:showVal val="0"/>
          <c:showCatName val="0"/>
          <c:showSerName val="0"/>
          <c:showPercent val="0"/>
          <c:showBubbleSize val="0"/>
        </c:dLbls>
        <c:gapWidth val="28"/>
        <c:overlap val="100"/>
        <c:axId val="1165317983"/>
        <c:axId val="1165329631"/>
      </c:barChart>
      <c:dateAx>
        <c:axId val="1165317983"/>
        <c:scaling>
          <c:orientation val="minMax"/>
          <c:max val="2046"/>
          <c:min val="2023"/>
        </c:scaling>
        <c:delete val="0"/>
        <c:axPos val="b"/>
        <c:numFmt formatCode="0"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65329631"/>
        <c:crosses val="autoZero"/>
        <c:auto val="0"/>
        <c:lblOffset val="100"/>
        <c:baseTimeUnit val="days"/>
      </c:dateAx>
      <c:valAx>
        <c:axId val="1165329631"/>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 millions ($2021)</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65317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6</xdr:col>
      <xdr:colOff>142874</xdr:colOff>
      <xdr:row>10</xdr:row>
      <xdr:rowOff>28574</xdr:rowOff>
    </xdr:from>
    <xdr:to>
      <xdr:col>16</xdr:col>
      <xdr:colOff>400049</xdr:colOff>
      <xdr:row>34</xdr:row>
      <xdr:rowOff>47624</xdr:rowOff>
    </xdr:to>
    <xdr:graphicFrame macro="">
      <xdr:nvGraphicFramePr>
        <xdr:cNvPr id="5" name="Chart 1">
          <a:extLst>
            <a:ext uri="{FF2B5EF4-FFF2-40B4-BE49-F238E27FC236}">
              <a16:creationId xmlns:a16="http://schemas.microsoft.com/office/drawing/2014/main" id="{8F9B3F7D-EE47-40D9-BEBC-30B7EEE6F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57</xdr:row>
      <xdr:rowOff>0</xdr:rowOff>
    </xdr:from>
    <xdr:to>
      <xdr:col>25</xdr:col>
      <xdr:colOff>411404</xdr:colOff>
      <xdr:row>96</xdr:row>
      <xdr:rowOff>29616</xdr:rowOff>
    </xdr:to>
    <xdr:pic>
      <xdr:nvPicPr>
        <xdr:cNvPr id="2" name="Picture 1">
          <a:extLst>
            <a:ext uri="{FF2B5EF4-FFF2-40B4-BE49-F238E27FC236}">
              <a16:creationId xmlns:a16="http://schemas.microsoft.com/office/drawing/2014/main" id="{5B665E5A-1206-2199-4FD7-A2F7B68BB480}"/>
            </a:ext>
          </a:extLst>
        </xdr:cNvPr>
        <xdr:cNvPicPr>
          <a:picLocks noChangeAspect="1"/>
        </xdr:cNvPicPr>
      </xdr:nvPicPr>
      <xdr:blipFill>
        <a:blip xmlns:r="http://schemas.openxmlformats.org/officeDocument/2006/relationships" r:embed="rId1"/>
        <a:stretch>
          <a:fillRect/>
        </a:stretch>
      </xdr:blipFill>
      <xdr:spPr>
        <a:xfrm>
          <a:off x="3914775" y="8372475"/>
          <a:ext cx="13108229" cy="7459116"/>
        </a:xfrm>
        <a:prstGeom prst="rect">
          <a:avLst/>
        </a:prstGeom>
      </xdr:spPr>
    </xdr:pic>
    <xdr:clientData/>
  </xdr:twoCellAnchor>
  <xdr:twoCellAnchor>
    <xdr:from>
      <xdr:col>9</xdr:col>
      <xdr:colOff>65943</xdr:colOff>
      <xdr:row>87</xdr:row>
      <xdr:rowOff>175846</xdr:rowOff>
    </xdr:from>
    <xdr:to>
      <xdr:col>10</xdr:col>
      <xdr:colOff>234462</xdr:colOff>
      <xdr:row>97</xdr:row>
      <xdr:rowOff>29307</xdr:rowOff>
    </xdr:to>
    <xdr:sp macro="" textlink="">
      <xdr:nvSpPr>
        <xdr:cNvPr id="3" name="Rectangle: Rounded Corners 2">
          <a:extLst>
            <a:ext uri="{FF2B5EF4-FFF2-40B4-BE49-F238E27FC236}">
              <a16:creationId xmlns:a16="http://schemas.microsoft.com/office/drawing/2014/main" id="{EE08866E-B2EC-50BF-8215-DEE9D98DFCB4}"/>
            </a:ext>
          </a:extLst>
        </xdr:cNvPr>
        <xdr:cNvSpPr/>
      </xdr:nvSpPr>
      <xdr:spPr>
        <a:xfrm>
          <a:off x="6411058" y="14221558"/>
          <a:ext cx="776654" cy="1758461"/>
        </a:xfrm>
        <a:prstGeom prst="roundRect">
          <a:avLst/>
        </a:prstGeom>
        <a:noFill/>
        <a:ln w="762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0</xdr:colOff>
      <xdr:row>101</xdr:row>
      <xdr:rowOff>0</xdr:rowOff>
    </xdr:from>
    <xdr:to>
      <xdr:col>25</xdr:col>
      <xdr:colOff>129704</xdr:colOff>
      <xdr:row>139</xdr:row>
      <xdr:rowOff>10537</xdr:rowOff>
    </xdr:to>
    <xdr:pic>
      <xdr:nvPicPr>
        <xdr:cNvPr id="4" name="Picture 3">
          <a:extLst>
            <a:ext uri="{FF2B5EF4-FFF2-40B4-BE49-F238E27FC236}">
              <a16:creationId xmlns:a16="http://schemas.microsoft.com/office/drawing/2014/main" id="{E3978922-7371-68AE-40A4-CDE55BDD5208}"/>
            </a:ext>
          </a:extLst>
        </xdr:cNvPr>
        <xdr:cNvPicPr>
          <a:picLocks noChangeAspect="1"/>
        </xdr:cNvPicPr>
      </xdr:nvPicPr>
      <xdr:blipFill>
        <a:blip xmlns:r="http://schemas.openxmlformats.org/officeDocument/2006/relationships" r:embed="rId2"/>
        <a:stretch>
          <a:fillRect/>
        </a:stretch>
      </xdr:blipFill>
      <xdr:spPr>
        <a:xfrm>
          <a:off x="3932464" y="16832036"/>
          <a:ext cx="12879597" cy="7249537"/>
        </a:xfrm>
        <a:prstGeom prst="rect">
          <a:avLst/>
        </a:prstGeom>
      </xdr:spPr>
    </xdr:pic>
    <xdr:clientData/>
  </xdr:twoCellAnchor>
  <xdr:twoCellAnchor>
    <xdr:from>
      <xdr:col>9</xdr:col>
      <xdr:colOff>0</xdr:colOff>
      <xdr:row>131</xdr:row>
      <xdr:rowOff>136071</xdr:rowOff>
    </xdr:from>
    <xdr:to>
      <xdr:col>10</xdr:col>
      <xdr:colOff>168519</xdr:colOff>
      <xdr:row>140</xdr:row>
      <xdr:rowOff>180032</xdr:rowOff>
    </xdr:to>
    <xdr:sp macro="" textlink="">
      <xdr:nvSpPr>
        <xdr:cNvPr id="5" name="Rectangle: Rounded Corners 4">
          <a:extLst>
            <a:ext uri="{FF2B5EF4-FFF2-40B4-BE49-F238E27FC236}">
              <a16:creationId xmlns:a16="http://schemas.microsoft.com/office/drawing/2014/main" id="{70BE4513-BB4F-470D-A51F-A831357D58F9}"/>
            </a:ext>
          </a:extLst>
        </xdr:cNvPr>
        <xdr:cNvSpPr/>
      </xdr:nvSpPr>
      <xdr:spPr>
        <a:xfrm>
          <a:off x="6381750" y="22683107"/>
          <a:ext cx="780840" cy="1758461"/>
        </a:xfrm>
        <a:prstGeom prst="roundRect">
          <a:avLst/>
        </a:prstGeom>
        <a:noFill/>
        <a:ln w="762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292918</xdr:colOff>
      <xdr:row>12</xdr:row>
      <xdr:rowOff>133350</xdr:rowOff>
    </xdr:from>
    <xdr:to>
      <xdr:col>24</xdr:col>
      <xdr:colOff>11621</xdr:colOff>
      <xdr:row>33</xdr:row>
      <xdr:rowOff>115181</xdr:rowOff>
    </xdr:to>
    <xdr:pic>
      <xdr:nvPicPr>
        <xdr:cNvPr id="2" name="Picture 1">
          <a:extLst>
            <a:ext uri="{FF2B5EF4-FFF2-40B4-BE49-F238E27FC236}">
              <a16:creationId xmlns:a16="http://schemas.microsoft.com/office/drawing/2014/main" id="{50FBB664-9CFB-D149-9A19-301FA326C78F}"/>
            </a:ext>
          </a:extLst>
        </xdr:cNvPr>
        <xdr:cNvPicPr>
          <a:picLocks noChangeAspect="1"/>
        </xdr:cNvPicPr>
      </xdr:nvPicPr>
      <xdr:blipFill>
        <a:blip xmlns:r="http://schemas.openxmlformats.org/officeDocument/2006/relationships" r:embed="rId1"/>
        <a:stretch>
          <a:fillRect/>
        </a:stretch>
      </xdr:blipFill>
      <xdr:spPr>
        <a:xfrm>
          <a:off x="5169718" y="3209925"/>
          <a:ext cx="9472303" cy="3982331"/>
        </a:xfrm>
        <a:prstGeom prst="rect">
          <a:avLst/>
        </a:prstGeom>
        <a:ln>
          <a:solidFill>
            <a:sysClr val="windowText" lastClr="000000"/>
          </a:solidFill>
        </a:ln>
      </xdr:spPr>
    </xdr:pic>
    <xdr:clientData/>
  </xdr:twoCellAnchor>
  <xdr:twoCellAnchor>
    <xdr:from>
      <xdr:col>13</xdr:col>
      <xdr:colOff>200025</xdr:colOff>
      <xdr:row>31</xdr:row>
      <xdr:rowOff>161925</xdr:rowOff>
    </xdr:from>
    <xdr:to>
      <xdr:col>22</xdr:col>
      <xdr:colOff>19050</xdr:colOff>
      <xdr:row>34</xdr:row>
      <xdr:rowOff>47625</xdr:rowOff>
    </xdr:to>
    <xdr:sp macro="" textlink="">
      <xdr:nvSpPr>
        <xdr:cNvPr id="3" name="Rectangle: Rounded Corners 2">
          <a:extLst>
            <a:ext uri="{FF2B5EF4-FFF2-40B4-BE49-F238E27FC236}">
              <a16:creationId xmlns:a16="http://schemas.microsoft.com/office/drawing/2014/main" id="{CC6EDC26-DDEC-3EFF-6B7C-8A8612370904}"/>
            </a:ext>
          </a:extLst>
        </xdr:cNvPr>
        <xdr:cNvSpPr/>
      </xdr:nvSpPr>
      <xdr:spPr>
        <a:xfrm>
          <a:off x="8124825" y="6858000"/>
          <a:ext cx="5305425" cy="457200"/>
        </a:xfrm>
        <a:prstGeom prst="roundRect">
          <a:avLst/>
        </a:prstGeom>
        <a:noFill/>
        <a:ln w="762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14</xdr:row>
      <xdr:rowOff>0</xdr:rowOff>
    </xdr:from>
    <xdr:to>
      <xdr:col>5</xdr:col>
      <xdr:colOff>142875</xdr:colOff>
      <xdr:row>38</xdr:row>
      <xdr:rowOff>123825</xdr:rowOff>
    </xdr:to>
    <xdr:pic>
      <xdr:nvPicPr>
        <xdr:cNvPr id="2" name="Picture 6">
          <a:extLst>
            <a:ext uri="{FF2B5EF4-FFF2-40B4-BE49-F238E27FC236}">
              <a16:creationId xmlns:a16="http://schemas.microsoft.com/office/drawing/2014/main" id="{F52EDFE2-884D-BE71-5AD1-F89AE5F220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667000"/>
          <a:ext cx="4838700" cy="469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600075</xdr:colOff>
      <xdr:row>2</xdr:row>
      <xdr:rowOff>114300</xdr:rowOff>
    </xdr:from>
    <xdr:to>
      <xdr:col>26</xdr:col>
      <xdr:colOff>602503</xdr:colOff>
      <xdr:row>30</xdr:row>
      <xdr:rowOff>76939</xdr:rowOff>
    </xdr:to>
    <xdr:pic>
      <xdr:nvPicPr>
        <xdr:cNvPr id="3" name="Picture 2">
          <a:extLst>
            <a:ext uri="{FF2B5EF4-FFF2-40B4-BE49-F238E27FC236}">
              <a16:creationId xmlns:a16="http://schemas.microsoft.com/office/drawing/2014/main" id="{3BCED324-2698-B02D-42BC-795752B5538C}"/>
            </a:ext>
          </a:extLst>
        </xdr:cNvPr>
        <xdr:cNvPicPr>
          <a:picLocks noChangeAspect="1"/>
        </xdr:cNvPicPr>
      </xdr:nvPicPr>
      <xdr:blipFill>
        <a:blip xmlns:r="http://schemas.openxmlformats.org/officeDocument/2006/relationships" r:embed="rId1"/>
        <a:stretch>
          <a:fillRect/>
        </a:stretch>
      </xdr:blipFill>
      <xdr:spPr>
        <a:xfrm>
          <a:off x="600075" y="495300"/>
          <a:ext cx="17395078" cy="52966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512884</xdr:colOff>
      <xdr:row>2</xdr:row>
      <xdr:rowOff>131884</xdr:rowOff>
    </xdr:from>
    <xdr:to>
      <xdr:col>4</xdr:col>
      <xdr:colOff>614961</xdr:colOff>
      <xdr:row>57</xdr:row>
      <xdr:rowOff>144846</xdr:rowOff>
    </xdr:to>
    <xdr:pic>
      <xdr:nvPicPr>
        <xdr:cNvPr id="2" name="Picture 1">
          <a:extLst>
            <a:ext uri="{FF2B5EF4-FFF2-40B4-BE49-F238E27FC236}">
              <a16:creationId xmlns:a16="http://schemas.microsoft.com/office/drawing/2014/main" id="{EF1A56C1-7465-42BC-C6BC-0191A1CB4EF0}"/>
            </a:ext>
          </a:extLst>
        </xdr:cNvPr>
        <xdr:cNvPicPr>
          <a:picLocks noChangeAspect="1"/>
        </xdr:cNvPicPr>
      </xdr:nvPicPr>
      <xdr:blipFill>
        <a:blip xmlns:r="http://schemas.openxmlformats.org/officeDocument/2006/relationships" r:embed="rId1"/>
        <a:stretch>
          <a:fillRect/>
        </a:stretch>
      </xdr:blipFill>
      <xdr:spPr>
        <a:xfrm>
          <a:off x="512884" y="454269"/>
          <a:ext cx="6916115" cy="88785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arverinc.local\gdata\Projects\2020\20T14065%20-%20ODOT%20CI-2250A%20TO5%20I-44%20US-75%20RAISE%202022\Planning\Funding%20Assistance\BCA\Final\BCA%20RAISE%202022_ODOT_51st%20Street%20Project_FINAL.xlsm" TargetMode="External"/><Relationship Id="rId1" Type="http://schemas.openxmlformats.org/officeDocument/2006/relationships/externalLinkPath" Target="/Projects/2020/20T14065%20-%20ODOT%20CI-2250A%20TO5%20I-44%20US-75%20RAISE%202022/Planning/Funding%20Assistance/BCA/Final/BCA%20RAISE%202022_ODOT_51st%20Street%20Project_FINA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rbezanson/AppData/Local/Microsoft/Windows/INetCache/Content.Outlook/M7IZQ3LK/I-40%20Douglas%20Blvd%20Interchange_BCA_%202021%20INFRA_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Results"/>
      <sheetName val="Report Tables _Main"/>
      <sheetName val="Additional Tables"/>
      <sheetName val="Inputs"/>
      <sheetName val="PROJECT"/>
      <sheetName val="Vehicle Traffic"/>
      <sheetName val="Pedestrian Traffic"/>
      <sheetName val="Accident Data"/>
      <sheetName val="Traffic"/>
      <sheetName val="Calc-1"/>
      <sheetName val="Calc-2"/>
      <sheetName val="Calc-3"/>
      <sheetName val="Calc-4"/>
      <sheetName val="Calc-5"/>
      <sheetName val="Calc-6"/>
      <sheetName val="Calc-Costs"/>
      <sheetName val="Project Costs"/>
      <sheetName val="MOVES"/>
      <sheetName val="Fuel Prices"/>
      <sheetName val="US DOT BCA Guidance"/>
      <sheetName val="GDP Defla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sults"/>
      <sheetName val="Report Tables"/>
      <sheetName val="Inputs"/>
      <sheetName val="Accident Cost Saving"/>
      <sheetName val="Travel Time Savings"/>
      <sheetName val="Travel Time Saving-Interchanges"/>
      <sheetName val="Emissions"/>
      <sheetName val="Residual Value"/>
      <sheetName val="Project Data"/>
      <sheetName val="Project Costs"/>
      <sheetName val="Traffic Projection"/>
      <sheetName val="Emissions.Calc"/>
      <sheetName val="Costs for Emission"/>
      <sheetName val="Deflation Factors"/>
      <sheetName val="Emissions.Raw.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633E9F6-EC4E-40B2-AAB4-1860F3DEF6FE}" name="Table1" displayName="Table1" ref="A1:K29" totalsRowShown="0" headerRowBorderDxfId="12" tableBorderDxfId="13" totalsRowBorderDxfId="11">
  <autoFilter ref="A1:K29" xr:uid="{D633E9F6-EC4E-40B2-AAB4-1860F3DEF6FE}">
    <filterColumn colId="8">
      <filters>
        <filter val="8"/>
      </filters>
    </filterColumn>
  </autoFilter>
  <tableColumns count="11">
    <tableColumn id="1" xr3:uid="{58BC8429-80C1-4746-9376-95AE02E303DF}" name="GC#" dataDxfId="10" dataCellStyle="Normal 4"/>
    <tableColumn id="2" xr3:uid="{8FD07BF7-038B-4DF5-8EE1-1017D078CB9B}" name="DATE INCIDENT" dataDxfId="9" dataCellStyle="Normal 4"/>
    <tableColumn id="3" xr3:uid="{78DC0AD9-124D-4A6A-BC04-3179BDFF77B7}" name="DEFENDANT" dataDxfId="8" dataCellStyle="Normal 4"/>
    <tableColumn id="4" xr3:uid="{D050ED91-C2A9-49FB-9E8A-AF5980CB5851}" name="STRUCTURE/CONTRACT" dataDxfId="7" dataCellStyle="Normal 4"/>
    <tableColumn id="5" xr3:uid="{E9A818C1-1AAE-45DE-9205-81606AA424A7}" name="DAMAGE LOSS" dataDxfId="6" dataCellStyle="Normal 4"/>
    <tableColumn id="6" xr3:uid="{C7BF3473-D5BF-4A3D-8BA2-87F01081ED13}" name="AMOUNT CLAIMED" dataDxfId="5" dataCellStyle="Normal 4"/>
    <tableColumn id="7" xr3:uid="{4AB89CFB-02BF-4931-99AC-CA193912B66E}" name="AMOUNT RECEIVED" dataDxfId="4" dataCellStyle="Normal 4"/>
    <tableColumn id="8" xr3:uid="{D9A15BFB-4518-4254-ACE2-99557F278CCD}" name="DATE CLOSED" dataDxfId="3" dataCellStyle="Normal 4"/>
    <tableColumn id="9" xr3:uid="{121490A0-1CA5-492C-94FD-DD25DD1C12CA}" name="DIST #" dataDxfId="2" dataCellStyle="Normal 4"/>
    <tableColumn id="10" xr3:uid="{85CBF820-342B-414F-9C56-02C50C536A8D}" name="Project #" dataDxfId="1" dataCellStyle="Normal 4"/>
    <tableColumn id="11" xr3:uid="{CF566D9C-87EE-4A17-83FC-860097B3ED1A}" name="Posted Clearance" dataDxfId="0" dataCellStyle="Normal 4"/>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8" Type="http://schemas.openxmlformats.org/officeDocument/2006/relationships/hyperlink" Target="https://publictransportresearchgroup.info/portfolio-item/best-practice-approaches-to-public-transport-customer-amenity-valuation/" TargetMode="External"/><Relationship Id="rId13" Type="http://schemas.openxmlformats.org/officeDocument/2006/relationships/hyperlink" Target="https://www.transportation.gov/mission/office-secretary/office-policy/transportation-policy/benefit-cost-analysis-guidance" TargetMode="External"/><Relationship Id="rId3" Type="http://schemas.openxmlformats.org/officeDocument/2006/relationships/hyperlink" Target="https://newsroom.aaa.com/wp-content/uploads/2021/08/2021-YDC-Brochure-Live.pdf" TargetMode="External"/><Relationship Id="rId7" Type="http://schemas.openxmlformats.org/officeDocument/2006/relationships/hyperlink" Target="https://www.sfcta.org/sites/default/files/2019-03/BikeRouteChoiceModel.pdf" TargetMode="External"/><Relationship Id="rId12" Type="http://schemas.openxmlformats.org/officeDocument/2006/relationships/hyperlink" Target="https://www.fhwa.dot.gov/policy/otps/costallocation.cfm" TargetMode="External"/><Relationship Id="rId2" Type="http://schemas.openxmlformats.org/officeDocument/2006/relationships/hyperlink" Target="https://www.transportation.gov/office-policy/transportation-policy/revised-departmental-guidance-valuation-travel-time-economic" TargetMode="External"/><Relationship Id="rId1" Type="http://schemas.openxmlformats.org/officeDocument/2006/relationships/hyperlink" Target="https://www.transportation.gov/office-policy/transportation-policy/revised-departmental-guidance-on-valuation-of-a-statistical-life-in-economic-analysis" TargetMode="External"/><Relationship Id="rId6" Type="http://schemas.openxmlformats.org/officeDocument/2006/relationships/hyperlink" Target="https://www.sciencedirect.com/science/article/abs/pii/S136192090900039X" TargetMode="External"/><Relationship Id="rId11" Type="http://schemas.openxmlformats.org/officeDocument/2006/relationships/hyperlink" Target="https://www.euro.who.int/__data/assets/pdf_file/0010/352963/Heat.pdf" TargetMode="External"/><Relationship Id="rId5" Type="http://schemas.openxmlformats.org/officeDocument/2006/relationships/hyperlink" Target="https://apps.bea.gov/iTable/iTable.cfm?reqid=19&amp;step=3&amp;isuri=1&amp;1921=survey&amp;1903=11%23reqid%3D19&amp;step=3&amp;isuri=1&amp;1921=survey&amp;1903=11" TargetMode="External"/><Relationship Id="rId10" Type="http://schemas.openxmlformats.org/officeDocument/2006/relationships/hyperlink" Target="https://www.transit.dot.gov/funding/grant-programs/capital-investments/stops" TargetMode="External"/><Relationship Id="rId4" Type="http://schemas.openxmlformats.org/officeDocument/2006/relationships/hyperlink" Target="https://www.epa.gov/sites/default/files/2018-02/documents/sourceapportionmentbpttsd_2018.pdf" TargetMode="External"/><Relationship Id="rId9" Type="http://schemas.openxmlformats.org/officeDocument/2006/relationships/hyperlink" Target="https://publictransportresearchgroup.info/portfolio-item/best-practice-approaches-to-public-transport-customer-amenity-valuation/"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census.gov/quickfacts/tulsacityoklahoma"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apps.bea.gov/iTable/?reqid=19&amp;step=3&amp;isuri=1&amp;1921=survey&amp;1903=11%23reqid%3D19&amp;step=3&amp;isuri=1&amp;1921=survey&amp;1903=11"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www.eia.gov/outlooks/aeo/tables_ref.php"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A2EBB-1101-4E97-B029-0B50EAFE1EE0}">
  <sheetPr>
    <tabColor rgb="FFFFFF00"/>
  </sheetPr>
  <dimension ref="A1:AV92"/>
  <sheetViews>
    <sheetView tabSelected="1" zoomScaleNormal="100" workbookViewId="0">
      <pane xSplit="5" ySplit="9" topLeftCell="F10" activePane="bottomRight" state="frozen"/>
      <selection pane="bottomRight" activeCell="E9" sqref="E9"/>
      <selection pane="bottomLeft" activeCell="A10" sqref="A10"/>
      <selection pane="topRight" activeCell="F1" sqref="F1"/>
    </sheetView>
  </sheetViews>
  <sheetFormatPr defaultColWidth="0" defaultRowHeight="14.25"/>
  <cols>
    <col min="1" max="1" width="13.140625" style="1" customWidth="1"/>
    <col min="2" max="2" width="37.42578125" style="1" bestFit="1" customWidth="1"/>
    <col min="3" max="5" width="13.28515625" style="1" customWidth="1"/>
    <col min="6" max="6" width="12.7109375" style="1" bestFit="1" customWidth="1"/>
    <col min="7" max="44" width="13.7109375" style="1" customWidth="1"/>
    <col min="45" max="45" width="9.140625" style="1" customWidth="1"/>
    <col min="46" max="48" width="0" style="1" hidden="1" customWidth="1"/>
    <col min="49" max="16384" width="9.140625" style="1" hidden="1"/>
  </cols>
  <sheetData>
    <row r="1" spans="1:10" ht="19.5">
      <c r="A1" s="11" t="s">
        <v>0</v>
      </c>
    </row>
    <row r="2" spans="1:10" ht="19.5">
      <c r="A2" s="11" t="s">
        <v>1</v>
      </c>
    </row>
    <row r="3" spans="1:10">
      <c r="A3" s="55">
        <f ca="1">TODAY()</f>
        <v>44984</v>
      </c>
    </row>
    <row r="4" spans="1:10">
      <c r="A4" s="56" t="s">
        <v>2</v>
      </c>
    </row>
    <row r="5" spans="1:10">
      <c r="A5" s="70" t="s">
        <v>3</v>
      </c>
    </row>
    <row r="6" spans="1:10">
      <c r="A6" s="71" t="s">
        <v>4</v>
      </c>
      <c r="B6" s="22"/>
    </row>
    <row r="7" spans="1:10">
      <c r="A7" s="72" t="s">
        <v>5</v>
      </c>
      <c r="B7" s="22"/>
    </row>
    <row r="8" spans="1:10" ht="15" thickBot="1">
      <c r="A8" s="284" t="s">
        <v>6</v>
      </c>
      <c r="B8" s="372" t="s">
        <v>7</v>
      </c>
      <c r="C8" s="1" t="str">
        <f>IF(Inputs!$B$153=0,"NO","YES")</f>
        <v>NO</v>
      </c>
    </row>
    <row r="9" spans="1:10" ht="20.25" thickBot="1">
      <c r="B9" s="411" t="s">
        <v>8</v>
      </c>
      <c r="C9" s="412"/>
      <c r="D9" s="412"/>
      <c r="E9" s="249">
        <f>$E$34</f>
        <v>1.4816410174706116</v>
      </c>
      <c r="G9" s="248"/>
      <c r="H9" s="248"/>
      <c r="I9" s="248"/>
      <c r="J9" s="250"/>
    </row>
    <row r="10" spans="1:10" ht="9" customHeight="1">
      <c r="G10" s="248"/>
      <c r="H10" s="248"/>
      <c r="I10" s="248"/>
      <c r="J10" s="250"/>
    </row>
    <row r="11" spans="1:10" ht="15.75" thickBot="1">
      <c r="A11" s="2"/>
      <c r="C11" s="158" t="s">
        <v>9</v>
      </c>
      <c r="D11" s="158"/>
      <c r="E11" s="158"/>
    </row>
    <row r="12" spans="1:10" ht="18" thickBot="1">
      <c r="B12" s="51" t="s">
        <v>10</v>
      </c>
      <c r="C12" s="52">
        <v>0</v>
      </c>
      <c r="D12" s="52">
        <v>0.03</v>
      </c>
      <c r="E12" s="53">
        <v>7.0000000000000007E-2</v>
      </c>
      <c r="F12" s="290" t="s">
        <v>11</v>
      </c>
    </row>
    <row r="13" spans="1:10">
      <c r="B13" s="48" t="s">
        <v>12</v>
      </c>
      <c r="C13" s="397">
        <f t="shared" ref="C13:C19" si="0">D40</f>
        <v>4.1542590529388841</v>
      </c>
      <c r="D13" s="397">
        <f t="shared" ref="D13:D19" si="1">D59</f>
        <v>2.6228852955027802</v>
      </c>
      <c r="E13" s="398">
        <f t="shared" ref="E13:E19" si="2">D78</f>
        <v>1.5128860077103714</v>
      </c>
      <c r="F13" s="288">
        <f t="shared" ref="F13:F20" si="3">E13/$E$20</f>
        <v>6.9847035142104982E-2</v>
      </c>
    </row>
    <row r="14" spans="1:10">
      <c r="B14" s="49" t="s">
        <v>13</v>
      </c>
      <c r="C14" s="397">
        <f t="shared" si="0"/>
        <v>50.506992748870616</v>
      </c>
      <c r="D14" s="397">
        <f t="shared" si="1"/>
        <v>31.299677067725412</v>
      </c>
      <c r="E14" s="398">
        <f t="shared" si="2"/>
        <v>17.616038034647705</v>
      </c>
      <c r="F14" s="288">
        <f t="shared" si="3"/>
        <v>0.81329857067873079</v>
      </c>
    </row>
    <row r="15" spans="1:10">
      <c r="B15" s="49" t="s">
        <v>14</v>
      </c>
      <c r="C15" s="397">
        <f t="shared" si="0"/>
        <v>2.1339633149452544</v>
      </c>
      <c r="D15" s="397">
        <f t="shared" si="1"/>
        <v>1.2915852472634795</v>
      </c>
      <c r="E15" s="398">
        <f t="shared" si="2"/>
        <v>0.70383083269149971</v>
      </c>
      <c r="F15" s="288">
        <f t="shared" si="3"/>
        <v>3.2494514890451374E-2</v>
      </c>
    </row>
    <row r="16" spans="1:10">
      <c r="B16" s="49" t="s">
        <v>15</v>
      </c>
      <c r="C16" s="397">
        <f t="shared" si="0"/>
        <v>0.20733853898478286</v>
      </c>
      <c r="D16" s="397">
        <f t="shared" si="1"/>
        <v>0.1261864509889758</v>
      </c>
      <c r="E16" s="398">
        <f t="shared" si="2"/>
        <v>7.0413768541386687E-2</v>
      </c>
      <c r="F16" s="288">
        <f t="shared" si="3"/>
        <v>3.2508681690047244E-3</v>
      </c>
    </row>
    <row r="17" spans="2:6">
      <c r="B17" s="49" t="s">
        <v>16</v>
      </c>
      <c r="C17" s="397">
        <f t="shared" si="0"/>
        <v>2.1843354623162337</v>
      </c>
      <c r="D17" s="397">
        <f t="shared" si="1"/>
        <v>1.3942612731173656</v>
      </c>
      <c r="E17" s="398">
        <f t="shared" si="2"/>
        <v>0.81528095944975787</v>
      </c>
      <c r="F17" s="288">
        <f t="shared" si="3"/>
        <v>3.7639952736133651E-2</v>
      </c>
    </row>
    <row r="18" spans="2:6">
      <c r="B18" s="94" t="s">
        <v>17</v>
      </c>
      <c r="C18" s="397">
        <f t="shared" si="0"/>
        <v>3.0069771739130443E-2</v>
      </c>
      <c r="D18" s="397">
        <f t="shared" si="1"/>
        <v>1.9294931329275081E-2</v>
      </c>
      <c r="E18" s="398">
        <f t="shared" si="2"/>
        <v>1.1356429256437376E-2</v>
      </c>
      <c r="F18" s="288">
        <f t="shared" si="3"/>
        <v>5.2430448118406033E-4</v>
      </c>
    </row>
    <row r="19" spans="2:6">
      <c r="B19" s="94" t="s">
        <v>18</v>
      </c>
      <c r="C19" s="397">
        <f t="shared" si="0"/>
        <v>5.0485049999999996</v>
      </c>
      <c r="D19" s="397">
        <f t="shared" si="1"/>
        <v>2.4111941044453351</v>
      </c>
      <c r="E19" s="398">
        <f t="shared" si="2"/>
        <v>0.930182893966914</v>
      </c>
      <c r="F19" s="288">
        <f t="shared" si="3"/>
        <v>4.2944753902390505E-2</v>
      </c>
    </row>
    <row r="20" spans="2:6" ht="15.75" thickBot="1">
      <c r="B20" s="50" t="s">
        <v>19</v>
      </c>
      <c r="C20" s="399">
        <f>SUM(C13:C19)</f>
        <v>64.265463889794901</v>
      </c>
      <c r="D20" s="399">
        <f>SUM(D13:D19)</f>
        <v>39.165084370372625</v>
      </c>
      <c r="E20" s="400">
        <f>SUM(E13:E19)</f>
        <v>21.65998892626407</v>
      </c>
      <c r="F20" s="289">
        <f t="shared" si="3"/>
        <v>1</v>
      </c>
    </row>
    <row r="21" spans="2:6">
      <c r="B21" s="71" t="s">
        <v>20</v>
      </c>
    </row>
    <row r="22" spans="2:6">
      <c r="B22" s="71"/>
    </row>
    <row r="23" spans="2:6" ht="15" thickBot="1">
      <c r="C23" s="158" t="s">
        <v>9</v>
      </c>
      <c r="D23" s="158"/>
      <c r="E23" s="158"/>
    </row>
    <row r="24" spans="2:6" ht="18" thickBot="1">
      <c r="B24" s="51" t="s">
        <v>21</v>
      </c>
      <c r="C24" s="52">
        <v>0</v>
      </c>
      <c r="D24" s="52">
        <v>0.03</v>
      </c>
      <c r="E24" s="53">
        <v>7.0000000000000007E-2</v>
      </c>
    </row>
    <row r="25" spans="2:6">
      <c r="B25" s="54" t="s">
        <v>22</v>
      </c>
      <c r="C25" s="214">
        <f>D50</f>
        <v>-21.531547411351429</v>
      </c>
      <c r="D25" s="214">
        <f>D69</f>
        <v>-18.822812166416753</v>
      </c>
      <c r="E25" s="215">
        <f>D88</f>
        <v>-15.835803044955435</v>
      </c>
    </row>
    <row r="26" spans="2:6">
      <c r="B26" s="54" t="s">
        <v>23</v>
      </c>
      <c r="C26" s="214">
        <f>D51</f>
        <v>3.4940299751419746</v>
      </c>
      <c r="D26" s="214">
        <f>D70</f>
        <v>2.1614095324769913</v>
      </c>
      <c r="E26" s="215">
        <f>D89</f>
        <v>1.2168847841468935</v>
      </c>
    </row>
    <row r="27" spans="2:6" ht="15.75" thickBot="1">
      <c r="B27" s="50" t="s">
        <v>19</v>
      </c>
      <c r="C27" s="216">
        <f>SUM(C25:C26)</f>
        <v>-18.037517436209455</v>
      </c>
      <c r="D27" s="216">
        <f>SUM(D25:D26)</f>
        <v>-16.661402633939762</v>
      </c>
      <c r="E27" s="217">
        <f>SUM(E25:E26)</f>
        <v>-14.618918260808542</v>
      </c>
    </row>
    <row r="29" spans="2:6" ht="15" thickBot="1">
      <c r="C29" s="158" t="s">
        <v>9</v>
      </c>
      <c r="D29" s="158"/>
      <c r="E29" s="158"/>
    </row>
    <row r="30" spans="2:6" ht="18" thickBot="1">
      <c r="B30" s="51" t="s">
        <v>24</v>
      </c>
      <c r="C30" s="52">
        <v>0</v>
      </c>
      <c r="D30" s="52">
        <v>0.03</v>
      </c>
      <c r="E30" s="53">
        <v>7.0000000000000007E-2</v>
      </c>
    </row>
    <row r="31" spans="2:6">
      <c r="B31" s="48" t="s">
        <v>25</v>
      </c>
      <c r="C31" s="218">
        <f>C20</f>
        <v>64.265463889794901</v>
      </c>
      <c r="D31" s="218">
        <f>D20</f>
        <v>39.165084370372625</v>
      </c>
      <c r="E31" s="219">
        <f>E20</f>
        <v>21.65998892626407</v>
      </c>
    </row>
    <row r="32" spans="2:6">
      <c r="B32" s="49" t="s">
        <v>26</v>
      </c>
      <c r="C32" s="220">
        <f>C27</f>
        <v>-18.037517436209455</v>
      </c>
      <c r="D32" s="220">
        <f>D27</f>
        <v>-16.661402633939762</v>
      </c>
      <c r="E32" s="221">
        <f>E27</f>
        <v>-14.618918260808542</v>
      </c>
    </row>
    <row r="33" spans="1:44">
      <c r="B33" s="49" t="s">
        <v>27</v>
      </c>
      <c r="C33" s="220">
        <f>C31+C32</f>
        <v>46.227946453585446</v>
      </c>
      <c r="D33" s="220">
        <f>D31+D32</f>
        <v>22.503681736432863</v>
      </c>
      <c r="E33" s="410">
        <f>E31+E32</f>
        <v>7.0410706654555284</v>
      </c>
    </row>
    <row r="34" spans="1:44">
      <c r="B34" s="49" t="s">
        <v>28</v>
      </c>
      <c r="C34" s="246">
        <f>C31/-C32</f>
        <v>3.5628774368242633</v>
      </c>
      <c r="D34" s="246">
        <f>D31/-D32</f>
        <v>2.3506474953430518</v>
      </c>
      <c r="E34" s="247">
        <f>E31/-E32</f>
        <v>1.4816410174706116</v>
      </c>
      <c r="F34" s="106"/>
    </row>
    <row r="35" spans="1:44" ht="15" thickBot="1">
      <c r="B35" s="49" t="s">
        <v>29</v>
      </c>
      <c r="C35" s="112">
        <f>-C33/C25</f>
        <v>2.1469867246612324</v>
      </c>
      <c r="D35" s="252">
        <f>-D33/D25</f>
        <v>1.1955536472166171</v>
      </c>
      <c r="E35" s="253">
        <f>-E33/E25</f>
        <v>0.44462984576576259</v>
      </c>
    </row>
    <row r="36" spans="1:44" ht="15" thickBot="1">
      <c r="B36" s="210" t="s">
        <v>30</v>
      </c>
      <c r="C36" s="251">
        <f>IRR(F54:AR54)</f>
        <v>0.11143482451353126</v>
      </c>
      <c r="D36" s="212"/>
    </row>
    <row r="37" spans="1:44">
      <c r="B37" s="213"/>
      <c r="C37" s="213"/>
    </row>
    <row r="38" spans="1:44" ht="15.75" thickBot="1">
      <c r="A38" s="2" t="s">
        <v>31</v>
      </c>
    </row>
    <row r="39" spans="1:44" ht="18" thickBot="1">
      <c r="B39" s="51" t="s">
        <v>32</v>
      </c>
      <c r="C39" s="52"/>
      <c r="D39" s="52" t="s">
        <v>33</v>
      </c>
      <c r="E39" s="52"/>
      <c r="F39" s="93">
        <f>Inputs!E12</f>
        <v>2018</v>
      </c>
      <c r="G39" s="93">
        <f>F39+1</f>
        <v>2019</v>
      </c>
      <c r="H39" s="93">
        <f t="shared" ref="H39:AN39" si="4">G39+1</f>
        <v>2020</v>
      </c>
      <c r="I39" s="93">
        <f t="shared" si="4"/>
        <v>2021</v>
      </c>
      <c r="J39" s="93">
        <f t="shared" si="4"/>
        <v>2022</v>
      </c>
      <c r="K39" s="93">
        <f t="shared" si="4"/>
        <v>2023</v>
      </c>
      <c r="L39" s="93">
        <f t="shared" si="4"/>
        <v>2024</v>
      </c>
      <c r="M39" s="93">
        <f t="shared" si="4"/>
        <v>2025</v>
      </c>
      <c r="N39" s="93">
        <f t="shared" si="4"/>
        <v>2026</v>
      </c>
      <c r="O39" s="93">
        <f t="shared" si="4"/>
        <v>2027</v>
      </c>
      <c r="P39" s="93">
        <f t="shared" si="4"/>
        <v>2028</v>
      </c>
      <c r="Q39" s="93">
        <f t="shared" si="4"/>
        <v>2029</v>
      </c>
      <c r="R39" s="93">
        <f t="shared" si="4"/>
        <v>2030</v>
      </c>
      <c r="S39" s="93">
        <f t="shared" si="4"/>
        <v>2031</v>
      </c>
      <c r="T39" s="93">
        <f t="shared" si="4"/>
        <v>2032</v>
      </c>
      <c r="U39" s="93">
        <f t="shared" si="4"/>
        <v>2033</v>
      </c>
      <c r="V39" s="93">
        <f t="shared" si="4"/>
        <v>2034</v>
      </c>
      <c r="W39" s="93">
        <f t="shared" si="4"/>
        <v>2035</v>
      </c>
      <c r="X39" s="93">
        <f t="shared" si="4"/>
        <v>2036</v>
      </c>
      <c r="Y39" s="93">
        <f t="shared" si="4"/>
        <v>2037</v>
      </c>
      <c r="Z39" s="93">
        <f t="shared" si="4"/>
        <v>2038</v>
      </c>
      <c r="AA39" s="93">
        <f t="shared" si="4"/>
        <v>2039</v>
      </c>
      <c r="AB39" s="93">
        <f t="shared" si="4"/>
        <v>2040</v>
      </c>
      <c r="AC39" s="93">
        <f t="shared" si="4"/>
        <v>2041</v>
      </c>
      <c r="AD39" s="93">
        <f t="shared" si="4"/>
        <v>2042</v>
      </c>
      <c r="AE39" s="93">
        <f t="shared" si="4"/>
        <v>2043</v>
      </c>
      <c r="AF39" s="93">
        <f t="shared" si="4"/>
        <v>2044</v>
      </c>
      <c r="AG39" s="93">
        <f t="shared" si="4"/>
        <v>2045</v>
      </c>
      <c r="AH39" s="93">
        <f t="shared" si="4"/>
        <v>2046</v>
      </c>
      <c r="AI39" s="93">
        <f t="shared" si="4"/>
        <v>2047</v>
      </c>
      <c r="AJ39" s="93">
        <f t="shared" si="4"/>
        <v>2048</v>
      </c>
      <c r="AK39" s="93">
        <f t="shared" si="4"/>
        <v>2049</v>
      </c>
      <c r="AL39" s="93">
        <f t="shared" si="4"/>
        <v>2050</v>
      </c>
      <c r="AM39" s="93">
        <f t="shared" si="4"/>
        <v>2051</v>
      </c>
      <c r="AN39" s="93">
        <f t="shared" si="4"/>
        <v>2052</v>
      </c>
      <c r="AO39" s="93">
        <f t="shared" ref="AO39" si="5">AN39+1</f>
        <v>2053</v>
      </c>
      <c r="AP39" s="93">
        <f t="shared" ref="AP39" si="6">AO39+1</f>
        <v>2054</v>
      </c>
      <c r="AQ39" s="93">
        <f t="shared" ref="AQ39" si="7">AP39+1</f>
        <v>2055</v>
      </c>
      <c r="AR39" s="205">
        <f t="shared" ref="AR39" si="8">AQ39+1</f>
        <v>2056</v>
      </c>
    </row>
    <row r="40" spans="1:44">
      <c r="B40" s="54" t="s">
        <v>12</v>
      </c>
      <c r="D40" s="222">
        <f>SUM(F40:AR40)</f>
        <v>4.1542590529388841</v>
      </c>
      <c r="E40" s="222"/>
      <c r="F40" s="222">
        <f>Safety!F$77/1000000</f>
        <v>0</v>
      </c>
      <c r="G40" s="222">
        <f>Safety!G$77/1000000</f>
        <v>0</v>
      </c>
      <c r="H40" s="222">
        <f>Safety!H$77/1000000</f>
        <v>0</v>
      </c>
      <c r="I40" s="222">
        <f>Safety!I$77/1000000</f>
        <v>0</v>
      </c>
      <c r="J40" s="222">
        <f>Safety!J$77/1000000</f>
        <v>0</v>
      </c>
      <c r="K40" s="222">
        <f>Safety!K$77/1000000</f>
        <v>0</v>
      </c>
      <c r="L40" s="222">
        <f>Safety!L$77/1000000</f>
        <v>0</v>
      </c>
      <c r="M40" s="222">
        <f>Safety!M$77/1000000</f>
        <v>0</v>
      </c>
      <c r="N40" s="222">
        <f>Safety!N$77/1000000</f>
        <v>0</v>
      </c>
      <c r="O40" s="222">
        <f>Safety!O$77/1000000</f>
        <v>0.17675978257810854</v>
      </c>
      <c r="P40" s="222">
        <f>Safety!P$77/1000000</f>
        <v>0.1797021836481866</v>
      </c>
      <c r="Q40" s="222">
        <f>Safety!Q$77/1000000</f>
        <v>0.18269356488745755</v>
      </c>
      <c r="R40" s="222">
        <f>Safety!R$77/1000000</f>
        <v>0.18573474163581469</v>
      </c>
      <c r="S40" s="222">
        <f>Safety!S$77/1000000</f>
        <v>0.18882654280556541</v>
      </c>
      <c r="T40" s="222">
        <f>Safety!T$77/1000000</f>
        <v>0.19196981110736203</v>
      </c>
      <c r="U40" s="222">
        <f>Safety!U$77/1000000</f>
        <v>0.19516540327989348</v>
      </c>
      <c r="V40" s="222">
        <f>Safety!V$77/1000000</f>
        <v>0.19841419032340096</v>
      </c>
      <c r="W40" s="222">
        <f>Safety!W$77/1000000</f>
        <v>0.20171705773708007</v>
      </c>
      <c r="X40" s="222">
        <f>Safety!X$77/1000000</f>
        <v>0.20507490576043502</v>
      </c>
      <c r="Y40" s="222">
        <f>Safety!Y$77/1000000</f>
        <v>0.20848864961865118</v>
      </c>
      <c r="Z40" s="222">
        <f>Safety!Z$77/1000000</f>
        <v>0.21195921977205107</v>
      </c>
      <c r="AA40" s="222">
        <f>Safety!AA$77/1000000</f>
        <v>0.21548756216970344</v>
      </c>
      <c r="AB40" s="222">
        <f>Safety!AB$77/1000000</f>
        <v>0.21907463850725475</v>
      </c>
      <c r="AC40" s="222">
        <f>Safety!AC$77/1000000</f>
        <v>0.22272142648905055</v>
      </c>
      <c r="AD40" s="222">
        <f>Safety!AD$77/1000000</f>
        <v>0.22642892009462284</v>
      </c>
      <c r="AE40" s="222">
        <f>Safety!AE$77/1000000</f>
        <v>0.23019812984961105</v>
      </c>
      <c r="AF40" s="222">
        <f>Safety!AF$77/1000000</f>
        <v>0.234030083101195</v>
      </c>
      <c r="AG40" s="222">
        <f>Safety!AG$77/1000000</f>
        <v>0.23792582429811068</v>
      </c>
      <c r="AH40" s="222">
        <f>Safety!AH$77/1000000</f>
        <v>0.24188641527532909</v>
      </c>
      <c r="AI40" s="222">
        <f>Safety!AI$77/1000000</f>
        <v>0</v>
      </c>
      <c r="AJ40" s="222">
        <f>Safety!AJ$77/1000000</f>
        <v>0</v>
      </c>
      <c r="AK40" s="222">
        <f>Safety!AK$77/1000000</f>
        <v>0</v>
      </c>
      <c r="AL40" s="222">
        <f>Safety!AL$77/1000000</f>
        <v>0</v>
      </c>
      <c r="AM40" s="222">
        <f>Safety!AM$77/1000000</f>
        <v>0</v>
      </c>
      <c r="AN40" s="222">
        <f>Safety!AN$77/1000000</f>
        <v>0</v>
      </c>
      <c r="AO40" s="222">
        <f>Safety!AO$77/1000000</f>
        <v>0</v>
      </c>
      <c r="AP40" s="222">
        <f>Safety!AP$77/1000000</f>
        <v>0</v>
      </c>
      <c r="AQ40" s="222">
        <f>Safety!AQ$77/1000000</f>
        <v>0</v>
      </c>
      <c r="AR40" s="222">
        <f>Safety!AR$77/1000000</f>
        <v>0</v>
      </c>
    </row>
    <row r="41" spans="1:44">
      <c r="B41" s="49" t="s">
        <v>13</v>
      </c>
      <c r="D41" s="222">
        <f>SUM(F41:AR41)</f>
        <v>50.506992748870616</v>
      </c>
      <c r="E41" s="222"/>
      <c r="F41" s="222">
        <f>'Time Savings'!F$105/1000000</f>
        <v>0</v>
      </c>
      <c r="G41" s="222">
        <f>'Time Savings'!G$105/1000000</f>
        <v>0</v>
      </c>
      <c r="H41" s="222">
        <f>'Time Savings'!H$105/1000000</f>
        <v>0</v>
      </c>
      <c r="I41" s="222">
        <f>'Time Savings'!I$105/1000000</f>
        <v>0</v>
      </c>
      <c r="J41" s="222">
        <f>'Time Savings'!J$105/1000000</f>
        <v>0</v>
      </c>
      <c r="K41" s="222">
        <f>'Time Savings'!K$105/1000000</f>
        <v>0</v>
      </c>
      <c r="L41" s="222">
        <f>'Time Savings'!L$105/1000000</f>
        <v>0</v>
      </c>
      <c r="M41" s="222">
        <f>'Time Savings'!M$105/1000000</f>
        <v>0</v>
      </c>
      <c r="N41" s="222">
        <f>'Time Savings'!N$105/1000000</f>
        <v>0</v>
      </c>
      <c r="O41" s="222">
        <f>'Time Savings'!O$105/1000000</f>
        <v>1.6858088158717282</v>
      </c>
      <c r="P41" s="222">
        <f>'Time Savings'!P$105/1000000</f>
        <v>1.7740049320536984</v>
      </c>
      <c r="Q41" s="222">
        <f>'Time Savings'!Q$105/1000000</f>
        <v>1.8622298103245003</v>
      </c>
      <c r="R41" s="222">
        <f>'Time Savings'!R$105/1000000</f>
        <v>1.9504836059779551</v>
      </c>
      <c r="S41" s="222">
        <f>'Time Savings'!S$105/1000000</f>
        <v>2.0387664751463532</v>
      </c>
      <c r="T41" s="222">
        <f>'Time Savings'!T$105/1000000</f>
        <v>2.1270785748049845</v>
      </c>
      <c r="U41" s="222">
        <f>'Time Savings'!U$105/1000000</f>
        <v>2.2154200627766865</v>
      </c>
      <c r="V41" s="222">
        <f>'Time Savings'!V$105/1000000</f>
        <v>2.3037910977364238</v>
      </c>
      <c r="W41" s="222">
        <f>'Time Savings'!W$105/1000000</f>
        <v>2.392191839215887</v>
      </c>
      <c r="X41" s="222">
        <f>'Time Savings'!X$105/1000000</f>
        <v>2.480622447608118</v>
      </c>
      <c r="Y41" s="222">
        <f>'Time Savings'!Y$105/1000000</f>
        <v>2.5690830841721639</v>
      </c>
      <c r="Z41" s="222">
        <f>'Time Savings'!Z$105/1000000</f>
        <v>2.6575739110377459</v>
      </c>
      <c r="AA41" s="222">
        <f>'Time Savings'!AA$105/1000000</f>
        <v>2.7460950912099693</v>
      </c>
      <c r="AB41" s="222">
        <f>'Time Savings'!AB$105/1000000</f>
        <v>2.8346467885740423</v>
      </c>
      <c r="AC41" s="222">
        <f>'Time Savings'!AC$105/1000000</f>
        <v>2.923229167900034</v>
      </c>
      <c r="AD41" s="222">
        <f>'Time Savings'!AD$105/1000000</f>
        <v>3.0118423948476445</v>
      </c>
      <c r="AE41" s="222">
        <f>'Time Savings'!AE$105/1000000</f>
        <v>3.1004866359710168</v>
      </c>
      <c r="AF41" s="222">
        <f>'Time Savings'!AF$105/1000000</f>
        <v>3.1891620587235594</v>
      </c>
      <c r="AG41" s="222">
        <f>'Time Savings'!AG$105/1000000</f>
        <v>3.2778688314628064</v>
      </c>
      <c r="AH41" s="222">
        <f>'Time Savings'!AH$105/1000000</f>
        <v>3.366607123455295</v>
      </c>
      <c r="AI41" s="222">
        <f>'Time Savings'!AI$105/1000000</f>
        <v>0</v>
      </c>
      <c r="AJ41" s="222">
        <f>'Time Savings'!AJ$105/1000000</f>
        <v>0</v>
      </c>
      <c r="AK41" s="222">
        <f>'Time Savings'!AK$105/1000000</f>
        <v>0</v>
      </c>
      <c r="AL41" s="222">
        <f>'Time Savings'!AL$105/1000000</f>
        <v>0</v>
      </c>
      <c r="AM41" s="222">
        <f>'Time Savings'!AM$105/1000000</f>
        <v>0</v>
      </c>
      <c r="AN41" s="222">
        <f>'Time Savings'!AN$105/1000000</f>
        <v>0</v>
      </c>
      <c r="AO41" s="222">
        <f>'Time Savings'!AO$105/1000000</f>
        <v>0</v>
      </c>
      <c r="AP41" s="222">
        <f>'Time Savings'!AP$105/1000000</f>
        <v>0</v>
      </c>
      <c r="AQ41" s="222">
        <f>'Time Savings'!AQ$105/1000000</f>
        <v>0</v>
      </c>
      <c r="AR41" s="222">
        <f>'Time Savings'!AR$105/1000000</f>
        <v>0</v>
      </c>
    </row>
    <row r="42" spans="1:44">
      <c r="B42" s="49" t="s">
        <v>14</v>
      </c>
      <c r="D42" s="222">
        <f t="shared" ref="D42:D47" si="9">SUM(F42:AR42)</f>
        <v>2.1339633149452544</v>
      </c>
      <c r="E42" s="222"/>
      <c r="F42" s="222">
        <f>'Veh Op Costs'!F$76/1000000</f>
        <v>0</v>
      </c>
      <c r="G42" s="222">
        <f>'Veh Op Costs'!G$76/1000000</f>
        <v>0</v>
      </c>
      <c r="H42" s="222">
        <f>'Veh Op Costs'!H$76/1000000</f>
        <v>0</v>
      </c>
      <c r="I42" s="222">
        <f>'Veh Op Costs'!I$76/1000000</f>
        <v>0</v>
      </c>
      <c r="J42" s="222">
        <f>'Veh Op Costs'!J$76/1000000</f>
        <v>0</v>
      </c>
      <c r="K42" s="222">
        <f>'Veh Op Costs'!K$76/1000000</f>
        <v>0</v>
      </c>
      <c r="L42" s="222">
        <f>'Veh Op Costs'!L$76/1000000</f>
        <v>0</v>
      </c>
      <c r="M42" s="222">
        <f>'Veh Op Costs'!M$76/1000000</f>
        <v>0</v>
      </c>
      <c r="N42" s="222">
        <f>'Veh Op Costs'!N$76/1000000</f>
        <v>0</v>
      </c>
      <c r="O42" s="222">
        <f>'Veh Op Costs'!O$76/1000000</f>
        <v>4.8869366231278723E-2</v>
      </c>
      <c r="P42" s="222">
        <f>'Veh Op Costs'!P$76/1000000</f>
        <v>5.4286194895471068E-2</v>
      </c>
      <c r="Q42" s="222">
        <f>'Veh Op Costs'!Q$76/1000000</f>
        <v>5.9610964166839024E-2</v>
      </c>
      <c r="R42" s="222">
        <f>'Veh Op Costs'!R$76/1000000</f>
        <v>6.6043492687064539E-2</v>
      </c>
      <c r="S42" s="222">
        <f>'Veh Op Costs'!S$76/1000000</f>
        <v>7.3336058833285464E-2</v>
      </c>
      <c r="T42" s="222">
        <f>'Veh Op Costs'!T$76/1000000</f>
        <v>7.9316642103568993E-2</v>
      </c>
      <c r="U42" s="222">
        <f>'Veh Op Costs'!U$76/1000000</f>
        <v>8.5243159799471904E-2</v>
      </c>
      <c r="V42" s="222">
        <f>'Veh Op Costs'!V$76/1000000</f>
        <v>9.1224585577695402E-2</v>
      </c>
      <c r="W42" s="222">
        <f>'Veh Op Costs'!W$76/1000000</f>
        <v>9.6909600045520294E-2</v>
      </c>
      <c r="X42" s="222">
        <f>'Veh Op Costs'!X$76/1000000</f>
        <v>0.1029874211169199</v>
      </c>
      <c r="Y42" s="222">
        <f>'Veh Op Costs'!Y$76/1000000</f>
        <v>0.10907264803030056</v>
      </c>
      <c r="Z42" s="222">
        <f>'Veh Op Costs'!Z$76/1000000</f>
        <v>0.11572929986118903</v>
      </c>
      <c r="AA42" s="222">
        <f>'Veh Op Costs'!AA$76/1000000</f>
        <v>0.12128056478835694</v>
      </c>
      <c r="AB42" s="222">
        <f>'Veh Op Costs'!AB$76/1000000</f>
        <v>0.1277527961096363</v>
      </c>
      <c r="AC42" s="222">
        <f>'Veh Op Costs'!AC$76/1000000</f>
        <v>0.13411393718562678</v>
      </c>
      <c r="AD42" s="222">
        <f>'Veh Op Costs'!AD$76/1000000</f>
        <v>0.13988307851194898</v>
      </c>
      <c r="AE42" s="222">
        <f>'Veh Op Costs'!AE$76/1000000</f>
        <v>0.14690990485143049</v>
      </c>
      <c r="AF42" s="222">
        <f>'Veh Op Costs'!AF$76/1000000</f>
        <v>0.15399982616511518</v>
      </c>
      <c r="AG42" s="222">
        <f>'Veh Op Costs'!AG$76/1000000</f>
        <v>0.16018561483639288</v>
      </c>
      <c r="AH42" s="222">
        <f>'Veh Op Costs'!AH$76/1000000</f>
        <v>0.16720815914814169</v>
      </c>
      <c r="AI42" s="222">
        <f>'Veh Op Costs'!AI$76/1000000</f>
        <v>0</v>
      </c>
      <c r="AJ42" s="222">
        <f>'Veh Op Costs'!AJ$76/1000000</f>
        <v>0</v>
      </c>
      <c r="AK42" s="222">
        <f>'Veh Op Costs'!AK$76/1000000</f>
        <v>0</v>
      </c>
      <c r="AL42" s="222">
        <f>'Veh Op Costs'!AL$76/1000000</f>
        <v>0</v>
      </c>
      <c r="AM42" s="222">
        <f>'Veh Op Costs'!AM$76/1000000</f>
        <v>0</v>
      </c>
      <c r="AN42" s="222">
        <f>'Veh Op Costs'!AN$76/1000000</f>
        <v>0</v>
      </c>
      <c r="AO42" s="222">
        <f>'Veh Op Costs'!AO$76/1000000</f>
        <v>0</v>
      </c>
      <c r="AP42" s="222">
        <f>'Veh Op Costs'!AP$76/1000000</f>
        <v>0</v>
      </c>
      <c r="AQ42" s="222">
        <f>'Veh Op Costs'!AQ$76/1000000</f>
        <v>0</v>
      </c>
      <c r="AR42" s="222">
        <f>'Veh Op Costs'!AR$76/1000000</f>
        <v>0</v>
      </c>
    </row>
    <row r="43" spans="1:44">
      <c r="B43" s="49" t="s">
        <v>34</v>
      </c>
      <c r="D43" s="222">
        <f t="shared" si="9"/>
        <v>0.20733853898478286</v>
      </c>
      <c r="E43" s="222"/>
      <c r="F43" s="222">
        <f>Emissions!F$98/1000000</f>
        <v>0</v>
      </c>
      <c r="G43" s="222">
        <f>Emissions!G$98/1000000</f>
        <v>0</v>
      </c>
      <c r="H43" s="222">
        <f>Emissions!H$98/1000000</f>
        <v>0</v>
      </c>
      <c r="I43" s="222">
        <f>Emissions!I$98/1000000</f>
        <v>0</v>
      </c>
      <c r="J43" s="222">
        <f>Emissions!J$98/1000000</f>
        <v>0</v>
      </c>
      <c r="K43" s="222">
        <f>Emissions!K$98/1000000</f>
        <v>0</v>
      </c>
      <c r="L43" s="222">
        <f>Emissions!L$98/1000000</f>
        <v>0</v>
      </c>
      <c r="M43" s="222">
        <f>Emissions!M$98/1000000</f>
        <v>0</v>
      </c>
      <c r="N43" s="222">
        <f>Emissions!N$98/1000000</f>
        <v>0</v>
      </c>
      <c r="O43" s="222">
        <f>Emissions!O$98/1000000</f>
        <v>5.0149971652173921E-3</v>
      </c>
      <c r="P43" s="222">
        <f>Emissions!P$98/1000000</f>
        <v>5.6133067521739214E-3</v>
      </c>
      <c r="Q43" s="222">
        <f>Emissions!Q$98/1000000</f>
        <v>6.2616527608695691E-3</v>
      </c>
      <c r="R43" s="222">
        <f>Emissions!R$98/1000000</f>
        <v>6.8984817500000063E-3</v>
      </c>
      <c r="S43" s="222">
        <f>Emissions!S$98/1000000</f>
        <v>7.434629139130444E-3</v>
      </c>
      <c r="T43" s="222">
        <f>Emissions!T$98/1000000</f>
        <v>7.9710618630434906E-3</v>
      </c>
      <c r="U43" s="222">
        <f>Emissions!U$98/1000000</f>
        <v>8.5077799217391364E-3</v>
      </c>
      <c r="V43" s="222">
        <f>Emissions!V$98/1000000</f>
        <v>9.0447833152174101E-3</v>
      </c>
      <c r="W43" s="222">
        <f>Emissions!W$98/1000000</f>
        <v>9.5820720434782632E-3</v>
      </c>
      <c r="X43" s="222">
        <f>Emissions!X$98/1000000</f>
        <v>1.0122347582608708E-2</v>
      </c>
      <c r="Y43" s="222">
        <f>Emissions!Y$98/1000000</f>
        <v>1.0660349647826096E-2</v>
      </c>
      <c r="Z43" s="222">
        <f>Emissions!Z$98/1000000</f>
        <v>1.1198637047826098E-2</v>
      </c>
      <c r="AA43" s="222">
        <f>Emissions!AA$98/1000000</f>
        <v>1.1737209782608709E-2</v>
      </c>
      <c r="AB43" s="222">
        <f>Emissions!AB$98/1000000</f>
        <v>1.2276067852173932E-2</v>
      </c>
      <c r="AC43" s="222">
        <f>Emissions!AC$98/1000000</f>
        <v>1.2818626069565239E-2</v>
      </c>
      <c r="AD43" s="222">
        <f>Emissions!AD$98/1000000</f>
        <v>1.3358197476086971E-2</v>
      </c>
      <c r="AE43" s="222">
        <f>Emissions!AE$98/1000000</f>
        <v>1.389805421739132E-2</v>
      </c>
      <c r="AF43" s="222">
        <f>Emissions!AF$98/1000000</f>
        <v>1.4438196293478272E-2</v>
      </c>
      <c r="AG43" s="222">
        <f>Emissions!AG$98/1000000</f>
        <v>1.4978623704347847E-2</v>
      </c>
      <c r="AH43" s="222">
        <f>Emissions!AH$98/1000000</f>
        <v>1.5523464600000021E-2</v>
      </c>
      <c r="AI43" s="222">
        <f>Emissions!AI$98/1000000</f>
        <v>0</v>
      </c>
      <c r="AJ43" s="222">
        <f>Emissions!AJ$98/1000000</f>
        <v>0</v>
      </c>
      <c r="AK43" s="222">
        <f>Emissions!AK$98/1000000</f>
        <v>0</v>
      </c>
      <c r="AL43" s="222">
        <f>Emissions!AL$98/1000000</f>
        <v>0</v>
      </c>
      <c r="AM43" s="222">
        <f>Emissions!AM$98/1000000</f>
        <v>0</v>
      </c>
      <c r="AN43" s="222">
        <f>Emissions!AN$98/1000000</f>
        <v>0</v>
      </c>
      <c r="AO43" s="222">
        <f>Emissions!AO$98/1000000</f>
        <v>0</v>
      </c>
      <c r="AP43" s="222">
        <f>Emissions!AP$98/1000000</f>
        <v>0</v>
      </c>
      <c r="AQ43" s="222">
        <f>Emissions!AQ$98/1000000</f>
        <v>0</v>
      </c>
      <c r="AR43" s="222">
        <f>Emissions!AR$98/1000000</f>
        <v>0</v>
      </c>
    </row>
    <row r="44" spans="1:44">
      <c r="B44" s="49" t="s">
        <v>35</v>
      </c>
      <c r="D44" s="222">
        <f t="shared" si="9"/>
        <v>2.1843354623162337</v>
      </c>
      <c r="E44" s="222"/>
      <c r="F44" s="222">
        <f>Pedestrian!F$58/1000000</f>
        <v>0</v>
      </c>
      <c r="G44" s="222">
        <f>Pedestrian!G$58/1000000</f>
        <v>0</v>
      </c>
      <c r="H44" s="222">
        <f>Pedestrian!H$58/1000000</f>
        <v>0</v>
      </c>
      <c r="I44" s="222">
        <f>Pedestrian!I$58/1000000</f>
        <v>0</v>
      </c>
      <c r="J44" s="222">
        <f>Pedestrian!J$58/1000000</f>
        <v>0</v>
      </c>
      <c r="K44" s="222">
        <f>Pedestrian!K$58/1000000</f>
        <v>0</v>
      </c>
      <c r="L44" s="222">
        <f>Pedestrian!L$58/1000000</f>
        <v>0</v>
      </c>
      <c r="M44" s="222">
        <f>Pedestrian!M$58/1000000</f>
        <v>0</v>
      </c>
      <c r="N44" s="222">
        <f>Pedestrian!N$58/1000000</f>
        <v>0</v>
      </c>
      <c r="O44" s="222">
        <f>Pedestrian!O$58/1000000</f>
        <v>0.10372028559922075</v>
      </c>
      <c r="P44" s="222">
        <f>Pedestrian!P$58/1000000</f>
        <v>0.10428029775603374</v>
      </c>
      <c r="Q44" s="222">
        <f>Pedestrian!Q$58/1000000</f>
        <v>0.10484333356066997</v>
      </c>
      <c r="R44" s="222">
        <f>Pedestrian!R$58/1000000</f>
        <v>0.10540940933857178</v>
      </c>
      <c r="S44" s="222">
        <f>Pedestrian!S$58/1000000</f>
        <v>0.10597854150332665</v>
      </c>
      <c r="T44" s="222">
        <f>Pedestrian!T$58/1000000</f>
        <v>0.10655074655714322</v>
      </c>
      <c r="U44" s="222">
        <f>Pedestrian!U$58/1000000</f>
        <v>0.1071260410913298</v>
      </c>
      <c r="V44" s="222">
        <f>Pedestrian!V$58/1000000</f>
        <v>0.10770444178677528</v>
      </c>
      <c r="W44" s="222">
        <f>Pedestrian!W$58/1000000</f>
        <v>0.10828596541443299</v>
      </c>
      <c r="X44" s="222">
        <f>Pedestrian!X$58/1000000</f>
        <v>0.10887062883580682</v>
      </c>
      <c r="Y44" s="222">
        <f>Pedestrian!Y$58/1000000</f>
        <v>0.10945844900344034</v>
      </c>
      <c r="Z44" s="222">
        <f>Pedestrian!Z$58/1000000</f>
        <v>0.11004944296140803</v>
      </c>
      <c r="AA44" s="222">
        <f>Pedestrian!AA$58/1000000</f>
        <v>0.11064362784580976</v>
      </c>
      <c r="AB44" s="222">
        <f>Pedestrian!AB$58/1000000</f>
        <v>0.11124102088526756</v>
      </c>
      <c r="AC44" s="222">
        <f>Pedestrian!AC$58/1000000</f>
        <v>0.11184163940142505</v>
      </c>
      <c r="AD44" s="222">
        <f>Pedestrian!AD$58/1000000</f>
        <v>0.11244550080944998</v>
      </c>
      <c r="AE44" s="222">
        <f>Pedestrian!AE$58/1000000</f>
        <v>0.11305262261853891</v>
      </c>
      <c r="AF44" s="222">
        <f>Pedestrian!AF$58/1000000</f>
        <v>0.11366302243242495</v>
      </c>
      <c r="AG44" s="222">
        <f>Pedestrian!AG$58/1000000</f>
        <v>0.11427671794988835</v>
      </c>
      <c r="AH44" s="222">
        <f>Pedestrian!AH$58/1000000</f>
        <v>0.11489372696526952</v>
      </c>
      <c r="AI44" s="222">
        <f>Pedestrian!AI$58/1000000</f>
        <v>0</v>
      </c>
      <c r="AJ44" s="222">
        <f>Pedestrian!AJ$58/1000000</f>
        <v>0</v>
      </c>
      <c r="AK44" s="222">
        <f>Pedestrian!AK$58/1000000</f>
        <v>0</v>
      </c>
      <c r="AL44" s="222">
        <f>Pedestrian!AL$58/1000000</f>
        <v>0</v>
      </c>
      <c r="AM44" s="222">
        <f>Pedestrian!AM$58/1000000</f>
        <v>0</v>
      </c>
      <c r="AN44" s="222">
        <f>Pedestrian!AN$58/1000000</f>
        <v>0</v>
      </c>
      <c r="AO44" s="222">
        <f>Pedestrian!AO$58/1000000</f>
        <v>0</v>
      </c>
      <c r="AP44" s="222">
        <f>Pedestrian!AP$58/1000000</f>
        <v>0</v>
      </c>
      <c r="AQ44" s="222">
        <f>Pedestrian!AQ$58/1000000</f>
        <v>0</v>
      </c>
      <c r="AR44" s="222">
        <f>Pedestrian!AR$58/1000000</f>
        <v>0</v>
      </c>
    </row>
    <row r="45" spans="1:44">
      <c r="B45" s="94" t="s">
        <v>17</v>
      </c>
      <c r="D45" s="222">
        <f t="shared" si="9"/>
        <v>3.0069771739130443E-2</v>
      </c>
      <c r="E45" s="222"/>
      <c r="F45" s="222">
        <f>'Bridge Hits'!F$45/1000000</f>
        <v>0</v>
      </c>
      <c r="G45" s="222">
        <f>'Bridge Hits'!G$45/1000000</f>
        <v>0</v>
      </c>
      <c r="H45" s="222">
        <f>'Bridge Hits'!H$45/1000000</f>
        <v>0</v>
      </c>
      <c r="I45" s="222">
        <f>'Bridge Hits'!I$45/1000000</f>
        <v>0</v>
      </c>
      <c r="J45" s="222">
        <f>'Bridge Hits'!J$45/1000000</f>
        <v>0</v>
      </c>
      <c r="K45" s="222">
        <f>'Bridge Hits'!K$45/1000000</f>
        <v>0</v>
      </c>
      <c r="L45" s="222">
        <f>'Bridge Hits'!L$45/1000000</f>
        <v>0</v>
      </c>
      <c r="M45" s="222">
        <f>'Bridge Hits'!M$45/1000000</f>
        <v>0</v>
      </c>
      <c r="N45" s="222">
        <f>'Bridge Hits'!N$45/1000000</f>
        <v>0</v>
      </c>
      <c r="O45" s="222">
        <f>'Bridge Hits'!O$45/1000000</f>
        <v>1.5034885869565219E-3</v>
      </c>
      <c r="P45" s="222">
        <f>'Bridge Hits'!P$45/1000000</f>
        <v>1.5034885869565219E-3</v>
      </c>
      <c r="Q45" s="222">
        <f>'Bridge Hits'!Q$45/1000000</f>
        <v>1.5034885869565219E-3</v>
      </c>
      <c r="R45" s="222">
        <f>'Bridge Hits'!R$45/1000000</f>
        <v>1.5034885869565219E-3</v>
      </c>
      <c r="S45" s="222">
        <f>'Bridge Hits'!S$45/1000000</f>
        <v>1.5034885869565219E-3</v>
      </c>
      <c r="T45" s="222">
        <f>'Bridge Hits'!T$45/1000000</f>
        <v>1.5034885869565219E-3</v>
      </c>
      <c r="U45" s="222">
        <f>'Bridge Hits'!U$45/1000000</f>
        <v>1.5034885869565219E-3</v>
      </c>
      <c r="V45" s="222">
        <f>'Bridge Hits'!V$45/1000000</f>
        <v>1.5034885869565219E-3</v>
      </c>
      <c r="W45" s="222">
        <f>'Bridge Hits'!W$45/1000000</f>
        <v>1.5034885869565219E-3</v>
      </c>
      <c r="X45" s="222">
        <f>'Bridge Hits'!X$45/1000000</f>
        <v>1.5034885869565219E-3</v>
      </c>
      <c r="Y45" s="222">
        <f>'Bridge Hits'!Y$45/1000000</f>
        <v>1.5034885869565219E-3</v>
      </c>
      <c r="Z45" s="222">
        <f>'Bridge Hits'!Z$45/1000000</f>
        <v>1.5034885869565219E-3</v>
      </c>
      <c r="AA45" s="222">
        <f>'Bridge Hits'!AA$45/1000000</f>
        <v>1.5034885869565219E-3</v>
      </c>
      <c r="AB45" s="222">
        <f>'Bridge Hits'!AB$45/1000000</f>
        <v>1.5034885869565219E-3</v>
      </c>
      <c r="AC45" s="222">
        <f>'Bridge Hits'!AC$45/1000000</f>
        <v>1.5034885869565219E-3</v>
      </c>
      <c r="AD45" s="222">
        <f>'Bridge Hits'!AD$45/1000000</f>
        <v>1.5034885869565219E-3</v>
      </c>
      <c r="AE45" s="222">
        <f>'Bridge Hits'!AE$45/1000000</f>
        <v>1.5034885869565219E-3</v>
      </c>
      <c r="AF45" s="222">
        <f>'Bridge Hits'!AF$45/1000000</f>
        <v>1.5034885869565219E-3</v>
      </c>
      <c r="AG45" s="222">
        <f>'Bridge Hits'!AG$45/1000000</f>
        <v>1.5034885869565219E-3</v>
      </c>
      <c r="AH45" s="222">
        <f>'Bridge Hits'!AH$45/1000000</f>
        <v>1.5034885869565219E-3</v>
      </c>
      <c r="AI45" s="222">
        <f>'Bridge Hits'!AI$45/1000000</f>
        <v>0</v>
      </c>
      <c r="AJ45" s="222">
        <f>'Bridge Hits'!AJ$45/1000000</f>
        <v>0</v>
      </c>
      <c r="AK45" s="222">
        <f>'Bridge Hits'!AK$45/1000000</f>
        <v>0</v>
      </c>
      <c r="AL45" s="222">
        <f>'Bridge Hits'!AL$45/1000000</f>
        <v>0</v>
      </c>
      <c r="AM45" s="222">
        <f>'Bridge Hits'!AM$45/1000000</f>
        <v>0</v>
      </c>
      <c r="AN45" s="222">
        <f>'Bridge Hits'!AN$45/1000000</f>
        <v>0</v>
      </c>
      <c r="AO45" s="222">
        <f>'Bridge Hits'!AO$45/1000000</f>
        <v>0</v>
      </c>
      <c r="AP45" s="222">
        <f>'Bridge Hits'!AP$45/1000000</f>
        <v>0</v>
      </c>
      <c r="AQ45" s="222">
        <f>'Bridge Hits'!AQ$45/1000000</f>
        <v>0</v>
      </c>
      <c r="AR45" s="222">
        <f>'Bridge Hits'!AR$45/1000000</f>
        <v>0</v>
      </c>
    </row>
    <row r="46" spans="1:44">
      <c r="B46" s="94" t="s">
        <v>18</v>
      </c>
      <c r="D46" s="222">
        <f t="shared" si="9"/>
        <v>5.0485049999999996</v>
      </c>
      <c r="E46" s="222"/>
      <c r="F46" s="222">
        <f>'Residual Value'!F$54/1000000</f>
        <v>0</v>
      </c>
      <c r="G46" s="222">
        <f>'Residual Value'!G$54/1000000</f>
        <v>0</v>
      </c>
      <c r="H46" s="222">
        <f>'Residual Value'!H$54/1000000</f>
        <v>0</v>
      </c>
      <c r="I46" s="222">
        <f>'Residual Value'!I$54/1000000</f>
        <v>0</v>
      </c>
      <c r="J46" s="222">
        <f>'Residual Value'!J$54/1000000</f>
        <v>0</v>
      </c>
      <c r="K46" s="222">
        <f>'Residual Value'!K$54/1000000</f>
        <v>0</v>
      </c>
      <c r="L46" s="222">
        <f>'Residual Value'!L$54/1000000</f>
        <v>0</v>
      </c>
      <c r="M46" s="222">
        <f>'Residual Value'!M$54/1000000</f>
        <v>0</v>
      </c>
      <c r="N46" s="222">
        <f>'Residual Value'!N$54/1000000</f>
        <v>0</v>
      </c>
      <c r="O46" s="222">
        <f>'Residual Value'!O$54/1000000</f>
        <v>0</v>
      </c>
      <c r="P46" s="222">
        <f>'Residual Value'!P$54/1000000</f>
        <v>0</v>
      </c>
      <c r="Q46" s="222">
        <f>'Residual Value'!Q$54/1000000</f>
        <v>0</v>
      </c>
      <c r="R46" s="222">
        <f>'Residual Value'!R$54/1000000</f>
        <v>0</v>
      </c>
      <c r="S46" s="222">
        <f>'Residual Value'!S$54/1000000</f>
        <v>0</v>
      </c>
      <c r="T46" s="222">
        <f>'Residual Value'!T$54/1000000</f>
        <v>0</v>
      </c>
      <c r="U46" s="222">
        <f>'Residual Value'!U$54/1000000</f>
        <v>0</v>
      </c>
      <c r="V46" s="222">
        <f>'Residual Value'!V$54/1000000</f>
        <v>0</v>
      </c>
      <c r="W46" s="222">
        <f>'Residual Value'!W$54/1000000</f>
        <v>0</v>
      </c>
      <c r="X46" s="222">
        <f>'Residual Value'!X$54/1000000</f>
        <v>0</v>
      </c>
      <c r="Y46" s="222">
        <f>'Residual Value'!Y$54/1000000</f>
        <v>0</v>
      </c>
      <c r="Z46" s="222">
        <f>'Residual Value'!Z$54/1000000</f>
        <v>0</v>
      </c>
      <c r="AA46" s="222">
        <f>'Residual Value'!AA$54/1000000</f>
        <v>0</v>
      </c>
      <c r="AB46" s="222">
        <f>'Residual Value'!AB$54/1000000</f>
        <v>0</v>
      </c>
      <c r="AC46" s="222">
        <f>'Residual Value'!AC$54/1000000</f>
        <v>0</v>
      </c>
      <c r="AD46" s="222">
        <f>'Residual Value'!AD$54/1000000</f>
        <v>0</v>
      </c>
      <c r="AE46" s="222">
        <f>'Residual Value'!AE$54/1000000</f>
        <v>0</v>
      </c>
      <c r="AF46" s="222">
        <f>'Residual Value'!AF$54/1000000</f>
        <v>0</v>
      </c>
      <c r="AG46" s="222">
        <f>'Residual Value'!AG$54/1000000</f>
        <v>0</v>
      </c>
      <c r="AH46" s="222">
        <f>'Residual Value'!AH$54/1000000</f>
        <v>5.0485049999999996</v>
      </c>
      <c r="AI46" s="222">
        <f>'Residual Value'!AI$54/1000000</f>
        <v>0</v>
      </c>
      <c r="AJ46" s="222">
        <f>'Residual Value'!AJ$54/1000000</f>
        <v>0</v>
      </c>
      <c r="AK46" s="222">
        <f>'Residual Value'!AK$54/1000000</f>
        <v>0</v>
      </c>
      <c r="AL46" s="222">
        <f>'Residual Value'!AL$54/1000000</f>
        <v>0</v>
      </c>
      <c r="AM46" s="222">
        <f>'Residual Value'!AM$54/1000000</f>
        <v>0</v>
      </c>
      <c r="AN46" s="222">
        <f>'Residual Value'!AN$54/1000000</f>
        <v>0</v>
      </c>
      <c r="AO46" s="222">
        <f>'Residual Value'!AO$54/1000000</f>
        <v>0</v>
      </c>
      <c r="AP46" s="222">
        <f>'Residual Value'!AP$54/1000000</f>
        <v>0</v>
      </c>
      <c r="AQ46" s="222">
        <f>'Residual Value'!AQ$54/1000000</f>
        <v>0</v>
      </c>
      <c r="AR46" s="222">
        <f>'Residual Value'!AR$54/1000000</f>
        <v>0</v>
      </c>
    </row>
    <row r="47" spans="1:44" ht="15.75" thickBot="1">
      <c r="B47" s="204" t="s">
        <v>25</v>
      </c>
      <c r="C47" s="206"/>
      <c r="D47" s="223">
        <f t="shared" si="9"/>
        <v>64.265463889794901</v>
      </c>
      <c r="E47" s="223"/>
      <c r="F47" s="223">
        <f t="shared" ref="F47:AR47" si="10">SUM(F40:F46)</f>
        <v>0</v>
      </c>
      <c r="G47" s="223">
        <f t="shared" si="10"/>
        <v>0</v>
      </c>
      <c r="H47" s="223">
        <f t="shared" si="10"/>
        <v>0</v>
      </c>
      <c r="I47" s="223">
        <f t="shared" si="10"/>
        <v>0</v>
      </c>
      <c r="J47" s="223">
        <f t="shared" si="10"/>
        <v>0</v>
      </c>
      <c r="K47" s="223">
        <f t="shared" si="10"/>
        <v>0</v>
      </c>
      <c r="L47" s="223">
        <f t="shared" si="10"/>
        <v>0</v>
      </c>
      <c r="M47" s="223">
        <f t="shared" si="10"/>
        <v>0</v>
      </c>
      <c r="N47" s="223">
        <f t="shared" si="10"/>
        <v>0</v>
      </c>
      <c r="O47" s="223">
        <f t="shared" si="10"/>
        <v>2.0216767360325103</v>
      </c>
      <c r="P47" s="223">
        <f t="shared" si="10"/>
        <v>2.1193904036925204</v>
      </c>
      <c r="Q47" s="223">
        <f t="shared" si="10"/>
        <v>2.2171428142872931</v>
      </c>
      <c r="R47" s="223">
        <f t="shared" si="10"/>
        <v>2.3160732199763627</v>
      </c>
      <c r="S47" s="223">
        <f t="shared" si="10"/>
        <v>2.4158457360146182</v>
      </c>
      <c r="T47" s="223">
        <f t="shared" si="10"/>
        <v>2.5143903250230588</v>
      </c>
      <c r="U47" s="223">
        <f t="shared" si="10"/>
        <v>2.6129659354560775</v>
      </c>
      <c r="V47" s="223">
        <f t="shared" si="10"/>
        <v>2.7116825873264694</v>
      </c>
      <c r="W47" s="223">
        <f t="shared" si="10"/>
        <v>2.8101900230433547</v>
      </c>
      <c r="X47" s="223">
        <f t="shared" si="10"/>
        <v>2.9091812394908452</v>
      </c>
      <c r="Y47" s="223">
        <f t="shared" si="10"/>
        <v>3.0082666690593385</v>
      </c>
      <c r="Z47" s="223">
        <f t="shared" si="10"/>
        <v>3.1080139992671771</v>
      </c>
      <c r="AA47" s="223">
        <f t="shared" si="10"/>
        <v>3.206747544383405</v>
      </c>
      <c r="AB47" s="223">
        <f t="shared" si="10"/>
        <v>3.3064948005153312</v>
      </c>
      <c r="AC47" s="223">
        <f t="shared" si="10"/>
        <v>3.4062282856326584</v>
      </c>
      <c r="AD47" s="223">
        <f t="shared" si="10"/>
        <v>3.5054615803267102</v>
      </c>
      <c r="AE47" s="223">
        <f t="shared" si="10"/>
        <v>3.6060488360949456</v>
      </c>
      <c r="AF47" s="223">
        <f t="shared" si="10"/>
        <v>3.7067966753027295</v>
      </c>
      <c r="AG47" s="223">
        <f t="shared" si="10"/>
        <v>3.8067391008385028</v>
      </c>
      <c r="AH47" s="223">
        <f t="shared" si="10"/>
        <v>8.9561273780309918</v>
      </c>
      <c r="AI47" s="223">
        <f t="shared" si="10"/>
        <v>0</v>
      </c>
      <c r="AJ47" s="223">
        <f t="shared" si="10"/>
        <v>0</v>
      </c>
      <c r="AK47" s="223">
        <f t="shared" si="10"/>
        <v>0</v>
      </c>
      <c r="AL47" s="223">
        <f t="shared" si="10"/>
        <v>0</v>
      </c>
      <c r="AM47" s="223">
        <f t="shared" si="10"/>
        <v>0</v>
      </c>
      <c r="AN47" s="223">
        <f t="shared" si="10"/>
        <v>0</v>
      </c>
      <c r="AO47" s="223">
        <f t="shared" si="10"/>
        <v>0</v>
      </c>
      <c r="AP47" s="223">
        <f t="shared" si="10"/>
        <v>0</v>
      </c>
      <c r="AQ47" s="223">
        <f t="shared" si="10"/>
        <v>0</v>
      </c>
      <c r="AR47" s="224">
        <f t="shared" si="10"/>
        <v>0</v>
      </c>
    </row>
    <row r="48" spans="1:44" ht="15" thickBot="1">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row>
    <row r="49" spans="1:44" ht="18" thickBot="1">
      <c r="B49" s="51" t="s">
        <v>36</v>
      </c>
      <c r="C49" s="52"/>
      <c r="D49" s="52" t="s">
        <v>33</v>
      </c>
      <c r="E49" s="52"/>
      <c r="F49" s="93">
        <f t="shared" ref="F49:AR49" si="11">F39</f>
        <v>2018</v>
      </c>
      <c r="G49" s="93">
        <f t="shared" si="11"/>
        <v>2019</v>
      </c>
      <c r="H49" s="93">
        <f t="shared" si="11"/>
        <v>2020</v>
      </c>
      <c r="I49" s="93">
        <f t="shared" si="11"/>
        <v>2021</v>
      </c>
      <c r="J49" s="93">
        <f t="shared" si="11"/>
        <v>2022</v>
      </c>
      <c r="K49" s="93">
        <f t="shared" si="11"/>
        <v>2023</v>
      </c>
      <c r="L49" s="93">
        <f t="shared" si="11"/>
        <v>2024</v>
      </c>
      <c r="M49" s="93">
        <f t="shared" si="11"/>
        <v>2025</v>
      </c>
      <c r="N49" s="93">
        <f t="shared" si="11"/>
        <v>2026</v>
      </c>
      <c r="O49" s="93">
        <f t="shared" si="11"/>
        <v>2027</v>
      </c>
      <c r="P49" s="93">
        <f t="shared" si="11"/>
        <v>2028</v>
      </c>
      <c r="Q49" s="93">
        <f t="shared" si="11"/>
        <v>2029</v>
      </c>
      <c r="R49" s="93">
        <f t="shared" si="11"/>
        <v>2030</v>
      </c>
      <c r="S49" s="93">
        <f t="shared" si="11"/>
        <v>2031</v>
      </c>
      <c r="T49" s="93">
        <f t="shared" si="11"/>
        <v>2032</v>
      </c>
      <c r="U49" s="93">
        <f t="shared" si="11"/>
        <v>2033</v>
      </c>
      <c r="V49" s="93">
        <f t="shared" si="11"/>
        <v>2034</v>
      </c>
      <c r="W49" s="93">
        <f t="shared" si="11"/>
        <v>2035</v>
      </c>
      <c r="X49" s="93">
        <f t="shared" si="11"/>
        <v>2036</v>
      </c>
      <c r="Y49" s="93">
        <f t="shared" si="11"/>
        <v>2037</v>
      </c>
      <c r="Z49" s="93">
        <f t="shared" si="11"/>
        <v>2038</v>
      </c>
      <c r="AA49" s="93">
        <f t="shared" si="11"/>
        <v>2039</v>
      </c>
      <c r="AB49" s="93">
        <f t="shared" si="11"/>
        <v>2040</v>
      </c>
      <c r="AC49" s="93">
        <f t="shared" si="11"/>
        <v>2041</v>
      </c>
      <c r="AD49" s="93">
        <f t="shared" si="11"/>
        <v>2042</v>
      </c>
      <c r="AE49" s="93">
        <f t="shared" si="11"/>
        <v>2043</v>
      </c>
      <c r="AF49" s="93">
        <f t="shared" si="11"/>
        <v>2044</v>
      </c>
      <c r="AG49" s="93">
        <f t="shared" si="11"/>
        <v>2045</v>
      </c>
      <c r="AH49" s="93">
        <f t="shared" si="11"/>
        <v>2046</v>
      </c>
      <c r="AI49" s="93">
        <f t="shared" si="11"/>
        <v>2047</v>
      </c>
      <c r="AJ49" s="93">
        <f t="shared" si="11"/>
        <v>2048</v>
      </c>
      <c r="AK49" s="93">
        <f t="shared" si="11"/>
        <v>2049</v>
      </c>
      <c r="AL49" s="93">
        <f t="shared" si="11"/>
        <v>2050</v>
      </c>
      <c r="AM49" s="93">
        <f t="shared" si="11"/>
        <v>2051</v>
      </c>
      <c r="AN49" s="93">
        <f t="shared" si="11"/>
        <v>2052</v>
      </c>
      <c r="AO49" s="93">
        <f t="shared" si="11"/>
        <v>2053</v>
      </c>
      <c r="AP49" s="93">
        <f t="shared" si="11"/>
        <v>2054</v>
      </c>
      <c r="AQ49" s="93">
        <f t="shared" si="11"/>
        <v>2055</v>
      </c>
      <c r="AR49" s="205">
        <f t="shared" si="11"/>
        <v>2056</v>
      </c>
    </row>
    <row r="50" spans="1:44">
      <c r="B50" s="54" t="s">
        <v>22</v>
      </c>
      <c r="D50" s="222">
        <f>SUM(F50:AR50)</f>
        <v>-21.531547411351429</v>
      </c>
      <c r="E50" s="222"/>
      <c r="F50" s="222">
        <f>-'Project Costs'!F$66/1000000</f>
        <v>0</v>
      </c>
      <c r="G50" s="222">
        <f>-'Project Costs'!G$66/1000000</f>
        <v>0</v>
      </c>
      <c r="H50" s="222">
        <f>-'Project Costs'!H$66/1000000</f>
        <v>0</v>
      </c>
      <c r="I50" s="222">
        <f>-'Project Costs'!I$66/1000000</f>
        <v>0</v>
      </c>
      <c r="J50" s="222">
        <f>-'Project Costs'!J$66/1000000</f>
        <v>0</v>
      </c>
      <c r="K50" s="222">
        <f>-'Project Costs'!K$66/1000000</f>
        <v>0</v>
      </c>
      <c r="L50" s="222">
        <f>-'Project Costs'!L$66/1000000</f>
        <v>-1.4525594007817144</v>
      </c>
      <c r="M50" s="222">
        <f>-'Project Costs'!M$66/1000000</f>
        <v>-6.6929957028839366</v>
      </c>
      <c r="N50" s="222">
        <f>-'Project Costs'!N$66/1000000</f>
        <v>-13.385992307685779</v>
      </c>
      <c r="O50" s="222">
        <f>-'Project Costs'!O$66/1000000</f>
        <v>0</v>
      </c>
      <c r="P50" s="222">
        <f>-'Project Costs'!P$66/1000000</f>
        <v>0</v>
      </c>
      <c r="Q50" s="222">
        <f>-'Project Costs'!Q$66/1000000</f>
        <v>0</v>
      </c>
      <c r="R50" s="222">
        <f>-'Project Costs'!R$66/1000000</f>
        <v>0</v>
      </c>
      <c r="S50" s="222">
        <f>-'Project Costs'!S$66/1000000</f>
        <v>0</v>
      </c>
      <c r="T50" s="222">
        <f>-'Project Costs'!T$66/1000000</f>
        <v>0</v>
      </c>
      <c r="U50" s="222">
        <f>-'Project Costs'!U$66/1000000</f>
        <v>0</v>
      </c>
      <c r="V50" s="222">
        <f>-'Project Costs'!V$66/1000000</f>
        <v>0</v>
      </c>
      <c r="W50" s="222">
        <f>-'Project Costs'!W$66/1000000</f>
        <v>0</v>
      </c>
      <c r="X50" s="222">
        <f>-'Project Costs'!X$66/1000000</f>
        <v>0</v>
      </c>
      <c r="Y50" s="222">
        <f>-'Project Costs'!Y$66/1000000</f>
        <v>0</v>
      </c>
      <c r="Z50" s="222">
        <f>-'Project Costs'!Z$66/1000000</f>
        <v>0</v>
      </c>
      <c r="AA50" s="222">
        <f>-'Project Costs'!AA$66/1000000</f>
        <v>0</v>
      </c>
      <c r="AB50" s="222">
        <f>-'Project Costs'!AB$66/1000000</f>
        <v>0</v>
      </c>
      <c r="AC50" s="222">
        <f>-'Project Costs'!AC$66/1000000</f>
        <v>0</v>
      </c>
      <c r="AD50" s="222">
        <f>-'Project Costs'!AD$66/1000000</f>
        <v>0</v>
      </c>
      <c r="AE50" s="222">
        <f>-'Project Costs'!AE$66/1000000</f>
        <v>0</v>
      </c>
      <c r="AF50" s="222">
        <f>-'Project Costs'!AF$66/1000000</f>
        <v>0</v>
      </c>
      <c r="AG50" s="222">
        <f>-'Project Costs'!AG$66/1000000</f>
        <v>0</v>
      </c>
      <c r="AH50" s="222">
        <f>-'Project Costs'!AH$66/1000000</f>
        <v>0</v>
      </c>
      <c r="AI50" s="222">
        <f>-'Project Costs'!AI$66/1000000</f>
        <v>0</v>
      </c>
      <c r="AJ50" s="222">
        <f>-'Project Costs'!AJ$66/1000000</f>
        <v>0</v>
      </c>
      <c r="AK50" s="222">
        <f>-'Project Costs'!AK$66/1000000</f>
        <v>0</v>
      </c>
      <c r="AL50" s="222">
        <f>-'Project Costs'!AL$66/1000000</f>
        <v>0</v>
      </c>
      <c r="AM50" s="222">
        <f>-'Project Costs'!AM$66/1000000</f>
        <v>0</v>
      </c>
      <c r="AN50" s="222">
        <f>-'Project Costs'!AN$66/1000000</f>
        <v>0</v>
      </c>
      <c r="AO50" s="222">
        <f>-'Project Costs'!AO$66/1000000</f>
        <v>0</v>
      </c>
      <c r="AP50" s="222">
        <f>-'Project Costs'!AP$66/1000000</f>
        <v>0</v>
      </c>
      <c r="AQ50" s="222">
        <f>-'Project Costs'!AQ$66/1000000</f>
        <v>0</v>
      </c>
      <c r="AR50" s="222">
        <f>-'Project Costs'!AR$66/1000000</f>
        <v>0</v>
      </c>
    </row>
    <row r="51" spans="1:44" ht="15" thickBot="1">
      <c r="B51" s="210" t="s">
        <v>23</v>
      </c>
      <c r="D51" s="222">
        <f>SUM(F51:AR51)</f>
        <v>3.4940299751419746</v>
      </c>
      <c r="E51" s="222"/>
      <c r="F51" s="222">
        <f>-'Project Costs'!F$71/1000000</f>
        <v>0</v>
      </c>
      <c r="G51" s="222">
        <f>-'Project Costs'!G$71/1000000</f>
        <v>0</v>
      </c>
      <c r="H51" s="222">
        <f>-'Project Costs'!H$71/1000000</f>
        <v>0</v>
      </c>
      <c r="I51" s="222">
        <f>-'Project Costs'!I$71/1000000</f>
        <v>0</v>
      </c>
      <c r="J51" s="222">
        <f>-'Project Costs'!J$71/1000000</f>
        <v>0</v>
      </c>
      <c r="K51" s="222">
        <f>-'Project Costs'!K$71/1000000</f>
        <v>0</v>
      </c>
      <c r="L51" s="222">
        <f>-'Project Costs'!L$71/1000000</f>
        <v>0</v>
      </c>
      <c r="M51" s="222">
        <f>-'Project Costs'!M$71/1000000</f>
        <v>0</v>
      </c>
      <c r="N51" s="222">
        <f>-'Project Costs'!N$71/1000000</f>
        <v>0</v>
      </c>
      <c r="O51" s="222">
        <f>-'Project Costs'!O$71/1000000</f>
        <v>-0.31567126775934196</v>
      </c>
      <c r="P51" s="222">
        <f>-'Project Costs'!P$71/1000000</f>
        <v>0</v>
      </c>
      <c r="Q51" s="222">
        <f>-'Project Costs'!Q$71/1000000</f>
        <v>0</v>
      </c>
      <c r="R51" s="222">
        <f>-'Project Costs'!R$71/1000000</f>
        <v>1.453891667508741</v>
      </c>
      <c r="S51" s="222">
        <f>-'Project Costs'!S$71/1000000</f>
        <v>0</v>
      </c>
      <c r="T51" s="222">
        <f>-'Project Costs'!T$71/1000000</f>
        <v>0</v>
      </c>
      <c r="U51" s="222">
        <f>-'Project Costs'!U$71/1000000</f>
        <v>0</v>
      </c>
      <c r="V51" s="222">
        <f>-'Project Costs'!V$71/1000000</f>
        <v>0</v>
      </c>
      <c r="W51" s="222">
        <f>-'Project Costs'!W$71/1000000</f>
        <v>0.9019179078838343</v>
      </c>
      <c r="X51" s="222">
        <f>-'Project Costs'!X$71/1000000</f>
        <v>0</v>
      </c>
      <c r="Y51" s="222">
        <f>-'Project Costs'!Y$71/1000000</f>
        <v>0</v>
      </c>
      <c r="Z51" s="222">
        <f>-'Project Costs'!Z$71/1000000</f>
        <v>0</v>
      </c>
      <c r="AA51" s="222">
        <f>-'Project Costs'!AA$71/1000000</f>
        <v>0</v>
      </c>
      <c r="AB51" s="222">
        <f>-'Project Costs'!AB$71/1000000</f>
        <v>0</v>
      </c>
      <c r="AC51" s="222">
        <f>-'Project Costs'!AC$71/1000000</f>
        <v>0</v>
      </c>
      <c r="AD51" s="222">
        <f>-'Project Costs'!AD$71/1000000</f>
        <v>0</v>
      </c>
      <c r="AE51" s="222">
        <f>-'Project Costs'!AE$71/1000000</f>
        <v>0</v>
      </c>
      <c r="AF51" s="222">
        <f>-'Project Costs'!AF$71/1000000</f>
        <v>0</v>
      </c>
      <c r="AG51" s="222">
        <f>-'Project Costs'!AG$71/1000000</f>
        <v>1.453891667508741</v>
      </c>
      <c r="AH51" s="222">
        <f>-'Project Costs'!AH$71/1000000</f>
        <v>0</v>
      </c>
      <c r="AI51" s="222">
        <f>-'Project Costs'!AI$71/1000000</f>
        <v>0</v>
      </c>
      <c r="AJ51" s="222">
        <f>-'Project Costs'!AJ$71/1000000</f>
        <v>0</v>
      </c>
      <c r="AK51" s="222">
        <f>-'Project Costs'!AK$71/1000000</f>
        <v>0</v>
      </c>
      <c r="AL51" s="222">
        <f>-'Project Costs'!AL$71/1000000</f>
        <v>0</v>
      </c>
      <c r="AM51" s="222">
        <f>-'Project Costs'!AM$71/1000000</f>
        <v>0</v>
      </c>
      <c r="AN51" s="222">
        <f>-'Project Costs'!AN$71/1000000</f>
        <v>0</v>
      </c>
      <c r="AO51" s="222">
        <f>-'Project Costs'!AO$71/1000000</f>
        <v>0</v>
      </c>
      <c r="AP51" s="222">
        <f>-'Project Costs'!AP$71/1000000</f>
        <v>0</v>
      </c>
      <c r="AQ51" s="222">
        <f>-'Project Costs'!AQ$71/1000000</f>
        <v>0</v>
      </c>
      <c r="AR51" s="222">
        <f>-'Project Costs'!AR$71/1000000</f>
        <v>0</v>
      </c>
    </row>
    <row r="52" spans="1:44" ht="15.75" thickBot="1">
      <c r="B52" s="211" t="s">
        <v>26</v>
      </c>
      <c r="C52" s="209"/>
      <c r="D52" s="225">
        <f t="shared" ref="D52:D54" si="12">SUM(F52:AR52)</f>
        <v>-18.037517436209452</v>
      </c>
      <c r="E52" s="225"/>
      <c r="F52" s="225">
        <f>SUM(F50:F51)</f>
        <v>0</v>
      </c>
      <c r="G52" s="225">
        <f t="shared" ref="G52:AR52" si="13">SUM(G50:G51)</f>
        <v>0</v>
      </c>
      <c r="H52" s="225">
        <f t="shared" si="13"/>
        <v>0</v>
      </c>
      <c r="I52" s="225">
        <f t="shared" si="13"/>
        <v>0</v>
      </c>
      <c r="J52" s="225">
        <f t="shared" si="13"/>
        <v>0</v>
      </c>
      <c r="K52" s="225">
        <f t="shared" si="13"/>
        <v>0</v>
      </c>
      <c r="L52" s="225">
        <f t="shared" si="13"/>
        <v>-1.4525594007817144</v>
      </c>
      <c r="M52" s="225">
        <f t="shared" si="13"/>
        <v>-6.6929957028839366</v>
      </c>
      <c r="N52" s="225">
        <f t="shared" si="13"/>
        <v>-13.385992307685779</v>
      </c>
      <c r="O52" s="225">
        <f t="shared" si="13"/>
        <v>-0.31567126775934196</v>
      </c>
      <c r="P52" s="225">
        <f t="shared" si="13"/>
        <v>0</v>
      </c>
      <c r="Q52" s="225">
        <f t="shared" si="13"/>
        <v>0</v>
      </c>
      <c r="R52" s="225">
        <f t="shared" si="13"/>
        <v>1.453891667508741</v>
      </c>
      <c r="S52" s="225">
        <f t="shared" si="13"/>
        <v>0</v>
      </c>
      <c r="T52" s="225">
        <f t="shared" si="13"/>
        <v>0</v>
      </c>
      <c r="U52" s="225">
        <f t="shared" si="13"/>
        <v>0</v>
      </c>
      <c r="V52" s="225">
        <f t="shared" si="13"/>
        <v>0</v>
      </c>
      <c r="W52" s="225">
        <f t="shared" si="13"/>
        <v>0.9019179078838343</v>
      </c>
      <c r="X52" s="225">
        <f t="shared" si="13"/>
        <v>0</v>
      </c>
      <c r="Y52" s="225">
        <f t="shared" si="13"/>
        <v>0</v>
      </c>
      <c r="Z52" s="225">
        <f t="shared" si="13"/>
        <v>0</v>
      </c>
      <c r="AA52" s="225">
        <f t="shared" si="13"/>
        <v>0</v>
      </c>
      <c r="AB52" s="225">
        <f t="shared" si="13"/>
        <v>0</v>
      </c>
      <c r="AC52" s="225">
        <f t="shared" si="13"/>
        <v>0</v>
      </c>
      <c r="AD52" s="225">
        <f t="shared" si="13"/>
        <v>0</v>
      </c>
      <c r="AE52" s="225">
        <f t="shared" si="13"/>
        <v>0</v>
      </c>
      <c r="AF52" s="225">
        <f t="shared" si="13"/>
        <v>0</v>
      </c>
      <c r="AG52" s="225">
        <f t="shared" si="13"/>
        <v>1.453891667508741</v>
      </c>
      <c r="AH52" s="225">
        <f t="shared" si="13"/>
        <v>0</v>
      </c>
      <c r="AI52" s="225">
        <f t="shared" si="13"/>
        <v>0</v>
      </c>
      <c r="AJ52" s="225">
        <f t="shared" si="13"/>
        <v>0</v>
      </c>
      <c r="AK52" s="225">
        <f t="shared" si="13"/>
        <v>0</v>
      </c>
      <c r="AL52" s="225">
        <f t="shared" si="13"/>
        <v>0</v>
      </c>
      <c r="AM52" s="225">
        <f t="shared" si="13"/>
        <v>0</v>
      </c>
      <c r="AN52" s="225">
        <f t="shared" si="13"/>
        <v>0</v>
      </c>
      <c r="AO52" s="225">
        <f t="shared" si="13"/>
        <v>0</v>
      </c>
      <c r="AP52" s="225">
        <f t="shared" si="13"/>
        <v>0</v>
      </c>
      <c r="AQ52" s="225">
        <f t="shared" si="13"/>
        <v>0</v>
      </c>
      <c r="AR52" s="226">
        <f t="shared" si="13"/>
        <v>0</v>
      </c>
    </row>
    <row r="53" spans="1:44" ht="15.75" thickBot="1">
      <c r="B53" s="2"/>
      <c r="C53" s="2"/>
      <c r="D53" s="227"/>
      <c r="E53" s="227"/>
      <c r="F53" s="227"/>
      <c r="G53" s="227"/>
      <c r="H53" s="227"/>
      <c r="I53" s="227"/>
      <c r="J53" s="227"/>
      <c r="K53" s="227"/>
      <c r="L53" s="227"/>
      <c r="M53" s="227"/>
      <c r="N53" s="227"/>
      <c r="O53" s="227"/>
      <c r="P53" s="227"/>
      <c r="Q53" s="227"/>
      <c r="R53" s="227"/>
      <c r="S53" s="227"/>
      <c r="T53" s="227"/>
      <c r="U53" s="227"/>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row>
    <row r="54" spans="1:44" ht="15.75" thickBot="1">
      <c r="B54" s="208" t="s">
        <v>37</v>
      </c>
      <c r="C54" s="209"/>
      <c r="D54" s="225">
        <f t="shared" si="12"/>
        <v>46.227946453585439</v>
      </c>
      <c r="E54" s="225"/>
      <c r="F54" s="225">
        <f t="shared" ref="F54" si="14">F47+F52</f>
        <v>0</v>
      </c>
      <c r="G54" s="225">
        <f>G47+G52</f>
        <v>0</v>
      </c>
      <c r="H54" s="225">
        <f t="shared" ref="H54:AR54" si="15">H47+H52</f>
        <v>0</v>
      </c>
      <c r="I54" s="225">
        <f t="shared" si="15"/>
        <v>0</v>
      </c>
      <c r="J54" s="225">
        <f t="shared" si="15"/>
        <v>0</v>
      </c>
      <c r="K54" s="225">
        <f t="shared" si="15"/>
        <v>0</v>
      </c>
      <c r="L54" s="225">
        <f t="shared" si="15"/>
        <v>-1.4525594007817144</v>
      </c>
      <c r="M54" s="225">
        <f t="shared" si="15"/>
        <v>-6.6929957028839366</v>
      </c>
      <c r="N54" s="225">
        <f t="shared" si="15"/>
        <v>-13.385992307685779</v>
      </c>
      <c r="O54" s="225">
        <f t="shared" si="15"/>
        <v>1.7060054682731685</v>
      </c>
      <c r="P54" s="225">
        <f t="shared" si="15"/>
        <v>2.1193904036925204</v>
      </c>
      <c r="Q54" s="225">
        <f t="shared" si="15"/>
        <v>2.2171428142872931</v>
      </c>
      <c r="R54" s="225">
        <f t="shared" si="15"/>
        <v>3.7699648874851039</v>
      </c>
      <c r="S54" s="225">
        <f t="shared" si="15"/>
        <v>2.4158457360146182</v>
      </c>
      <c r="T54" s="225">
        <f t="shared" si="15"/>
        <v>2.5143903250230588</v>
      </c>
      <c r="U54" s="225">
        <f t="shared" si="15"/>
        <v>2.6129659354560775</v>
      </c>
      <c r="V54" s="225">
        <f t="shared" si="15"/>
        <v>2.7116825873264694</v>
      </c>
      <c r="W54" s="225">
        <f t="shared" si="15"/>
        <v>3.7121079309271892</v>
      </c>
      <c r="X54" s="225">
        <f t="shared" si="15"/>
        <v>2.9091812394908452</v>
      </c>
      <c r="Y54" s="225">
        <f t="shared" si="15"/>
        <v>3.0082666690593385</v>
      </c>
      <c r="Z54" s="225">
        <f t="shared" si="15"/>
        <v>3.1080139992671771</v>
      </c>
      <c r="AA54" s="225">
        <f t="shared" si="15"/>
        <v>3.206747544383405</v>
      </c>
      <c r="AB54" s="225">
        <f t="shared" si="15"/>
        <v>3.3064948005153312</v>
      </c>
      <c r="AC54" s="225">
        <f t="shared" si="15"/>
        <v>3.4062282856326584</v>
      </c>
      <c r="AD54" s="225">
        <f t="shared" si="15"/>
        <v>3.5054615803267102</v>
      </c>
      <c r="AE54" s="225">
        <f t="shared" si="15"/>
        <v>3.6060488360949456</v>
      </c>
      <c r="AF54" s="225">
        <f t="shared" si="15"/>
        <v>3.7067966753027295</v>
      </c>
      <c r="AG54" s="225">
        <f t="shared" si="15"/>
        <v>5.2606307683472435</v>
      </c>
      <c r="AH54" s="225">
        <f t="shared" si="15"/>
        <v>8.9561273780309918</v>
      </c>
      <c r="AI54" s="225">
        <f t="shared" si="15"/>
        <v>0</v>
      </c>
      <c r="AJ54" s="225">
        <f t="shared" si="15"/>
        <v>0</v>
      </c>
      <c r="AK54" s="225">
        <f t="shared" si="15"/>
        <v>0</v>
      </c>
      <c r="AL54" s="225">
        <f t="shared" si="15"/>
        <v>0</v>
      </c>
      <c r="AM54" s="225">
        <f t="shared" si="15"/>
        <v>0</v>
      </c>
      <c r="AN54" s="225">
        <f t="shared" si="15"/>
        <v>0</v>
      </c>
      <c r="AO54" s="225">
        <f t="shared" si="15"/>
        <v>0</v>
      </c>
      <c r="AP54" s="225">
        <f t="shared" si="15"/>
        <v>0</v>
      </c>
      <c r="AQ54" s="225">
        <f t="shared" si="15"/>
        <v>0</v>
      </c>
      <c r="AR54" s="225">
        <f t="shared" si="15"/>
        <v>0</v>
      </c>
    </row>
    <row r="56" spans="1:44">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row>
    <row r="57" spans="1:44" ht="15.75" thickBot="1">
      <c r="A57" s="2" t="s">
        <v>38</v>
      </c>
    </row>
    <row r="58" spans="1:44" ht="18" thickBot="1">
      <c r="B58" s="51" t="s">
        <v>32</v>
      </c>
      <c r="C58" s="52"/>
      <c r="D58" s="52" t="s">
        <v>33</v>
      </c>
      <c r="E58" s="52"/>
      <c r="F58" s="93">
        <f t="shared" ref="F58:AR58" si="16">F39</f>
        <v>2018</v>
      </c>
      <c r="G58" s="93">
        <f t="shared" si="16"/>
        <v>2019</v>
      </c>
      <c r="H58" s="93">
        <f t="shared" si="16"/>
        <v>2020</v>
      </c>
      <c r="I58" s="93">
        <f t="shared" si="16"/>
        <v>2021</v>
      </c>
      <c r="J58" s="93">
        <f t="shared" si="16"/>
        <v>2022</v>
      </c>
      <c r="K58" s="93">
        <f t="shared" si="16"/>
        <v>2023</v>
      </c>
      <c r="L58" s="93">
        <f t="shared" si="16"/>
        <v>2024</v>
      </c>
      <c r="M58" s="93">
        <f t="shared" si="16"/>
        <v>2025</v>
      </c>
      <c r="N58" s="93">
        <f t="shared" si="16"/>
        <v>2026</v>
      </c>
      <c r="O58" s="93">
        <f t="shared" si="16"/>
        <v>2027</v>
      </c>
      <c r="P58" s="93">
        <f t="shared" si="16"/>
        <v>2028</v>
      </c>
      <c r="Q58" s="93">
        <f t="shared" si="16"/>
        <v>2029</v>
      </c>
      <c r="R58" s="93">
        <f t="shared" si="16"/>
        <v>2030</v>
      </c>
      <c r="S58" s="93">
        <f t="shared" si="16"/>
        <v>2031</v>
      </c>
      <c r="T58" s="93">
        <f t="shared" si="16"/>
        <v>2032</v>
      </c>
      <c r="U58" s="93">
        <f t="shared" si="16"/>
        <v>2033</v>
      </c>
      <c r="V58" s="93">
        <f t="shared" si="16"/>
        <v>2034</v>
      </c>
      <c r="W58" s="93">
        <f t="shared" si="16"/>
        <v>2035</v>
      </c>
      <c r="X58" s="93">
        <f t="shared" si="16"/>
        <v>2036</v>
      </c>
      <c r="Y58" s="93">
        <f t="shared" si="16"/>
        <v>2037</v>
      </c>
      <c r="Z58" s="93">
        <f t="shared" si="16"/>
        <v>2038</v>
      </c>
      <c r="AA58" s="93">
        <f t="shared" si="16"/>
        <v>2039</v>
      </c>
      <c r="AB58" s="93">
        <f t="shared" si="16"/>
        <v>2040</v>
      </c>
      <c r="AC58" s="93">
        <f t="shared" si="16"/>
        <v>2041</v>
      </c>
      <c r="AD58" s="93">
        <f t="shared" si="16"/>
        <v>2042</v>
      </c>
      <c r="AE58" s="93">
        <f t="shared" si="16"/>
        <v>2043</v>
      </c>
      <c r="AF58" s="93">
        <f t="shared" si="16"/>
        <v>2044</v>
      </c>
      <c r="AG58" s="93">
        <f t="shared" si="16"/>
        <v>2045</v>
      </c>
      <c r="AH58" s="93">
        <f t="shared" si="16"/>
        <v>2046</v>
      </c>
      <c r="AI58" s="93">
        <f t="shared" si="16"/>
        <v>2047</v>
      </c>
      <c r="AJ58" s="93">
        <f t="shared" si="16"/>
        <v>2048</v>
      </c>
      <c r="AK58" s="93">
        <f t="shared" si="16"/>
        <v>2049</v>
      </c>
      <c r="AL58" s="93">
        <f t="shared" si="16"/>
        <v>2050</v>
      </c>
      <c r="AM58" s="93">
        <f t="shared" si="16"/>
        <v>2051</v>
      </c>
      <c r="AN58" s="93">
        <f t="shared" si="16"/>
        <v>2052</v>
      </c>
      <c r="AO58" s="93">
        <f t="shared" si="16"/>
        <v>2053</v>
      </c>
      <c r="AP58" s="93">
        <f t="shared" si="16"/>
        <v>2054</v>
      </c>
      <c r="AQ58" s="93">
        <f t="shared" si="16"/>
        <v>2055</v>
      </c>
      <c r="AR58" s="93">
        <f t="shared" si="16"/>
        <v>2056</v>
      </c>
    </row>
    <row r="59" spans="1:44">
      <c r="B59" s="54" t="s">
        <v>12</v>
      </c>
      <c r="D59" s="222">
        <f>SUM(F59:AR59)</f>
        <v>2.6228852955027802</v>
      </c>
      <c r="E59" s="222"/>
      <c r="F59" s="222">
        <f>Safety!F$78/1000000</f>
        <v>0</v>
      </c>
      <c r="G59" s="222">
        <f>Safety!G$78/1000000</f>
        <v>0</v>
      </c>
      <c r="H59" s="222">
        <f>Safety!H$78/1000000</f>
        <v>0</v>
      </c>
      <c r="I59" s="222">
        <f>Safety!I$78/1000000</f>
        <v>0</v>
      </c>
      <c r="J59" s="222">
        <f>Safety!J$78/1000000</f>
        <v>0</v>
      </c>
      <c r="K59" s="222">
        <f>Safety!K$78/1000000</f>
        <v>0</v>
      </c>
      <c r="L59" s="222">
        <f>Safety!L$78/1000000</f>
        <v>0</v>
      </c>
      <c r="M59" s="222">
        <f>Safety!M$78/1000000</f>
        <v>0</v>
      </c>
      <c r="N59" s="222">
        <f>Safety!N$78/1000000</f>
        <v>0</v>
      </c>
      <c r="O59" s="222">
        <f>Safety!O$78/1000000</f>
        <v>0.14803353512399162</v>
      </c>
      <c r="P59" s="222">
        <f>Safety!P$78/1000000</f>
        <v>0.14611432009420494</v>
      </c>
      <c r="Q59" s="222">
        <f>Safety!Q$78/1000000</f>
        <v>0.14421998717189122</v>
      </c>
      <c r="R59" s="222">
        <f>Safety!R$78/1000000</f>
        <v>0.14235021376720888</v>
      </c>
      <c r="S59" s="222">
        <f>Safety!S$78/1000000</f>
        <v>0.14050468147260722</v>
      </c>
      <c r="T59" s="222">
        <f>Safety!T$78/1000000</f>
        <v>0.13868307600860375</v>
      </c>
      <c r="U59" s="222">
        <f>Safety!U$78/1000000</f>
        <v>0.13688508717026501</v>
      </c>
      <c r="V59" s="222">
        <f>Safety!V$78/1000000</f>
        <v>0.1351104087743813</v>
      </c>
      <c r="W59" s="222">
        <f>Safety!W$78/1000000</f>
        <v>0.13335873860732608</v>
      </c>
      <c r="X59" s="222">
        <f>Safety!X$78/1000000</f>
        <v>0.13162977837359116</v>
      </c>
      <c r="Y59" s="222">
        <f>Safety!Y$78/1000000</f>
        <v>0.12992323364498973</v>
      </c>
      <c r="Z59" s="222">
        <f>Safety!Z$78/1000000</f>
        <v>0.1282388138105171</v>
      </c>
      <c r="AA59" s="222">
        <f>Safety!AA$78/1000000</f>
        <v>0.12657623202686227</v>
      </c>
      <c r="AB59" s="222">
        <f>Safety!AB$78/1000000</f>
        <v>0.12493520516956104</v>
      </c>
      <c r="AC59" s="222">
        <f>Safety!AC$78/1000000</f>
        <v>0.12331545378478144</v>
      </c>
      <c r="AD59" s="222">
        <f>Safety!AD$78/1000000</f>
        <v>0.12171670204173562</v>
      </c>
      <c r="AE59" s="222">
        <f>Safety!AE$78/1000000</f>
        <v>0.12013867768570767</v>
      </c>
      <c r="AF59" s="222">
        <f>Safety!AF$78/1000000</f>
        <v>0.11858111199169123</v>
      </c>
      <c r="AG59" s="222">
        <f>Safety!AG$78/1000000</f>
        <v>0.11704373971862723</v>
      </c>
      <c r="AH59" s="222">
        <f>Safety!AH$78/1000000</f>
        <v>0.11552629906423574</v>
      </c>
      <c r="AI59" s="222">
        <f>Safety!AI$78/1000000</f>
        <v>0</v>
      </c>
      <c r="AJ59" s="222">
        <f>Safety!AJ$78/1000000</f>
        <v>0</v>
      </c>
      <c r="AK59" s="222">
        <f>Safety!AK$78/1000000</f>
        <v>0</v>
      </c>
      <c r="AL59" s="222">
        <f>Safety!AL$78/1000000</f>
        <v>0</v>
      </c>
      <c r="AM59" s="222">
        <f>Safety!AM$78/1000000</f>
        <v>0</v>
      </c>
      <c r="AN59" s="222">
        <f>Safety!AN$78/1000000</f>
        <v>0</v>
      </c>
      <c r="AO59" s="222">
        <f>Safety!AO$78/1000000</f>
        <v>0</v>
      </c>
      <c r="AP59" s="222">
        <f>Safety!AP$78/1000000</f>
        <v>0</v>
      </c>
      <c r="AQ59" s="222">
        <f>Safety!AQ$78/1000000</f>
        <v>0</v>
      </c>
      <c r="AR59" s="222">
        <f>Safety!AR$78/1000000</f>
        <v>0</v>
      </c>
    </row>
    <row r="60" spans="1:44">
      <c r="B60" s="49" t="s">
        <v>13</v>
      </c>
      <c r="D60" s="222">
        <f>SUM(F60:AR60)</f>
        <v>31.299677067725412</v>
      </c>
      <c r="E60" s="222"/>
      <c r="F60" s="222">
        <f>'Time Savings'!F$106/1000000</f>
        <v>0</v>
      </c>
      <c r="G60" s="222">
        <f>'Time Savings'!G$106/1000000</f>
        <v>0</v>
      </c>
      <c r="H60" s="222">
        <f>'Time Savings'!H$106/1000000</f>
        <v>0</v>
      </c>
      <c r="I60" s="222">
        <f>'Time Savings'!I$106/1000000</f>
        <v>0</v>
      </c>
      <c r="J60" s="222">
        <f>'Time Savings'!J$106/1000000</f>
        <v>0</v>
      </c>
      <c r="K60" s="222">
        <f>'Time Savings'!K$106/1000000</f>
        <v>0</v>
      </c>
      <c r="L60" s="222">
        <f>'Time Savings'!L$106/1000000</f>
        <v>0</v>
      </c>
      <c r="M60" s="222">
        <f>'Time Savings'!M$106/1000000</f>
        <v>0</v>
      </c>
      <c r="N60" s="222">
        <f>'Time Savings'!N$106/1000000</f>
        <v>0</v>
      </c>
      <c r="O60" s="222">
        <f>'Time Savings'!O$106/1000000</f>
        <v>1.4118383430710859</v>
      </c>
      <c r="P60" s="222">
        <f>'Time Savings'!P$106/1000000</f>
        <v>1.4424283513341052</v>
      </c>
      <c r="Q60" s="222">
        <f>'Time Savings'!Q$106/1000000</f>
        <v>1.4700614086848496</v>
      </c>
      <c r="R60" s="222">
        <f>'Time Savings'!R$106/1000000</f>
        <v>1.4948832717834388</v>
      </c>
      <c r="S60" s="222">
        <f>'Time Savings'!S$106/1000000</f>
        <v>1.5170337280518469</v>
      </c>
      <c r="T60" s="222">
        <f>'Time Savings'!T$106/1000000</f>
        <v>1.5366468194364928</v>
      </c>
      <c r="U60" s="222">
        <f>'Time Savings'!U$106/1000000</f>
        <v>1.5538510582074219</v>
      </c>
      <c r="V60" s="222">
        <f>'Time Savings'!V$106/1000000</f>
        <v>1.5687696350679721</v>
      </c>
      <c r="W60" s="222">
        <f>'Time Savings'!W$106/1000000</f>
        <v>1.5815206198396143</v>
      </c>
      <c r="X60" s="222">
        <f>'Time Savings'!X$106/1000000</f>
        <v>1.5922171549777588</v>
      </c>
      <c r="Y60" s="222">
        <f>'Time Savings'!Y$106/1000000</f>
        <v>1.6009676421657388</v>
      </c>
      <c r="Z60" s="222">
        <f>'Time Savings'!Z$106/1000000</f>
        <v>1.6078759222258452</v>
      </c>
      <c r="AA60" s="222">
        <f>'Time Savings'!AA$106/1000000</f>
        <v>1.6130414485782802</v>
      </c>
      <c r="AB60" s="222">
        <f>'Time Savings'!AB$106/1000000</f>
        <v>1.6165594544710733</v>
      </c>
      <c r="AC60" s="222">
        <f>'Time Savings'!AC$106/1000000</f>
        <v>1.6185211141965437</v>
      </c>
      <c r="AD60" s="222">
        <f>'Time Savings'!AD$106/1000000</f>
        <v>1.6190136985025696</v>
      </c>
      <c r="AE60" s="222">
        <f>'Time Savings'!AE$106/1000000</f>
        <v>1.6181207243999485</v>
      </c>
      <c r="AF60" s="222">
        <f>'Time Savings'!AF$106/1000000</f>
        <v>1.615922099560285</v>
      </c>
      <c r="AG60" s="222">
        <f>'Time Savings'!AG$106/1000000</f>
        <v>1.6124942614923201</v>
      </c>
      <c r="AH60" s="222">
        <f>'Time Savings'!AH$106/1000000</f>
        <v>1.6079103116782245</v>
      </c>
      <c r="AI60" s="222">
        <f>'Time Savings'!AI$106/1000000</f>
        <v>0</v>
      </c>
      <c r="AJ60" s="222">
        <f>'Time Savings'!AJ$106/1000000</f>
        <v>0</v>
      </c>
      <c r="AK60" s="222">
        <f>'Time Savings'!AK$106/1000000</f>
        <v>0</v>
      </c>
      <c r="AL60" s="222">
        <f>'Time Savings'!AL$106/1000000</f>
        <v>0</v>
      </c>
      <c r="AM60" s="222">
        <f>'Time Savings'!AM$106/1000000</f>
        <v>0</v>
      </c>
      <c r="AN60" s="222">
        <f>'Time Savings'!AN$106/1000000</f>
        <v>0</v>
      </c>
      <c r="AO60" s="222">
        <f>'Time Savings'!AO$106/1000000</f>
        <v>0</v>
      </c>
      <c r="AP60" s="222">
        <f>'Time Savings'!AP$106/1000000</f>
        <v>0</v>
      </c>
      <c r="AQ60" s="222">
        <f>'Time Savings'!AQ$106/1000000</f>
        <v>0</v>
      </c>
      <c r="AR60" s="222">
        <f>'Time Savings'!AR$106/1000000</f>
        <v>0</v>
      </c>
    </row>
    <row r="61" spans="1:44">
      <c r="B61" s="49" t="s">
        <v>14</v>
      </c>
      <c r="D61" s="222">
        <f t="shared" ref="D61:D66" si="17">SUM(F61:AR61)</f>
        <v>1.2915852472634795</v>
      </c>
      <c r="E61" s="222"/>
      <c r="F61" s="222">
        <f>'Veh Op Costs'!F$77/1000000</f>
        <v>0</v>
      </c>
      <c r="G61" s="222">
        <f>'Veh Op Costs'!G$77/1000000</f>
        <v>0</v>
      </c>
      <c r="H61" s="222">
        <f>'Veh Op Costs'!H$77/1000000</f>
        <v>0</v>
      </c>
      <c r="I61" s="222">
        <f>'Veh Op Costs'!I$77/1000000</f>
        <v>0</v>
      </c>
      <c r="J61" s="222">
        <f>'Veh Op Costs'!J$77/1000000</f>
        <v>0</v>
      </c>
      <c r="K61" s="222">
        <f>'Veh Op Costs'!K$77/1000000</f>
        <v>0</v>
      </c>
      <c r="L61" s="222">
        <f>'Veh Op Costs'!L$77/1000000</f>
        <v>0</v>
      </c>
      <c r="M61" s="222">
        <f>'Veh Op Costs'!M$77/1000000</f>
        <v>0</v>
      </c>
      <c r="N61" s="222">
        <f>'Veh Op Costs'!N$77/1000000</f>
        <v>0</v>
      </c>
      <c r="O61" s="222">
        <f>'Veh Op Costs'!O$77/1000000</f>
        <v>4.0927324852803745E-2</v>
      </c>
      <c r="P61" s="222">
        <f>'Veh Op Costs'!P$77/1000000</f>
        <v>4.413964425263843E-2</v>
      </c>
      <c r="Q61" s="222">
        <f>'Veh Op Costs'!Q$77/1000000</f>
        <v>4.7057445579659858E-2</v>
      </c>
      <c r="R61" s="222">
        <f>'Veh Op Costs'!R$77/1000000</f>
        <v>5.0616837857780227E-2</v>
      </c>
      <c r="S61" s="222">
        <f>'Veh Op Costs'!S$77/1000000</f>
        <v>5.4568915120355943E-2</v>
      </c>
      <c r="T61" s="222">
        <f>'Veh Op Costs'!T$77/1000000</f>
        <v>5.7300029843987459E-2</v>
      </c>
      <c r="U61" s="222">
        <f>'Veh Op Costs'!U$77/1000000</f>
        <v>5.9787837207424074E-2</v>
      </c>
      <c r="V61" s="222">
        <f>'Veh Op Costs'!V$77/1000000</f>
        <v>6.2119503789454016E-2</v>
      </c>
      <c r="W61" s="222">
        <f>'Veh Op Costs'!W$77/1000000</f>
        <v>6.4068662144854335E-2</v>
      </c>
      <c r="X61" s="222">
        <f>'Veh Op Costs'!X$77/1000000</f>
        <v>6.6103706675472038E-2</v>
      </c>
      <c r="Y61" s="222">
        <f>'Veh Op Costs'!Y$77/1000000</f>
        <v>6.7970468225675248E-2</v>
      </c>
      <c r="Z61" s="222">
        <f>'Veh Op Costs'!Z$77/1000000</f>
        <v>7.0018129682120359E-2</v>
      </c>
      <c r="AA61" s="222">
        <f>'Veh Op Costs'!AA$77/1000000</f>
        <v>7.1239549765338084E-2</v>
      </c>
      <c r="AB61" s="222">
        <f>'Veh Op Costs'!AB$77/1000000</f>
        <v>7.2855634507478437E-2</v>
      </c>
      <c r="AC61" s="222">
        <f>'Veh Op Costs'!AC$77/1000000</f>
        <v>7.4255635318150659E-2</v>
      </c>
      <c r="AD61" s="222">
        <f>'Veh Op Costs'!AD$77/1000000</f>
        <v>7.5194047566028807E-2</v>
      </c>
      <c r="AE61" s="222">
        <f>'Veh Op Costs'!AE$77/1000000</f>
        <v>7.6671177647335748E-2</v>
      </c>
      <c r="AF61" s="222">
        <f>'Veh Op Costs'!AF$77/1000000</f>
        <v>7.8030441177471252E-2</v>
      </c>
      <c r="AG61" s="222">
        <f>'Veh Op Costs'!AG$77/1000000</f>
        <v>7.8800708014308302E-2</v>
      </c>
      <c r="AH61" s="222">
        <f>'Veh Op Costs'!AH$77/1000000</f>
        <v>7.9859548035142391E-2</v>
      </c>
      <c r="AI61" s="222">
        <f>'Veh Op Costs'!AI$77/1000000</f>
        <v>0</v>
      </c>
      <c r="AJ61" s="222">
        <f>'Veh Op Costs'!AJ$77/1000000</f>
        <v>0</v>
      </c>
      <c r="AK61" s="222">
        <f>'Veh Op Costs'!AK$77/1000000</f>
        <v>0</v>
      </c>
      <c r="AL61" s="222">
        <f>'Veh Op Costs'!AL$77/1000000</f>
        <v>0</v>
      </c>
      <c r="AM61" s="222">
        <f>'Veh Op Costs'!AM$77/1000000</f>
        <v>0</v>
      </c>
      <c r="AN61" s="222">
        <f>'Veh Op Costs'!AN$77/1000000</f>
        <v>0</v>
      </c>
      <c r="AO61" s="222">
        <f>'Veh Op Costs'!AO$77/1000000</f>
        <v>0</v>
      </c>
      <c r="AP61" s="222">
        <f>'Veh Op Costs'!AP$77/1000000</f>
        <v>0</v>
      </c>
      <c r="AQ61" s="222">
        <f>'Veh Op Costs'!AQ$77/1000000</f>
        <v>0</v>
      </c>
      <c r="AR61" s="222">
        <f>'Veh Op Costs'!AR$77/1000000</f>
        <v>0</v>
      </c>
    </row>
    <row r="62" spans="1:44">
      <c r="B62" s="49" t="s">
        <v>34</v>
      </c>
      <c r="D62" s="222">
        <f t="shared" si="17"/>
        <v>0.1261864509889758</v>
      </c>
      <c r="E62" s="222"/>
      <c r="F62" s="222">
        <f>Emissions!F$99/1000000</f>
        <v>0</v>
      </c>
      <c r="G62" s="222">
        <f>Emissions!G$99/1000000</f>
        <v>0</v>
      </c>
      <c r="H62" s="222">
        <f>Emissions!H$99/1000000</f>
        <v>0</v>
      </c>
      <c r="I62" s="222">
        <f>Emissions!I$99/1000000</f>
        <v>0</v>
      </c>
      <c r="J62" s="222">
        <f>Emissions!J$99/1000000</f>
        <v>0</v>
      </c>
      <c r="K62" s="222">
        <f>Emissions!K$99/1000000</f>
        <v>0</v>
      </c>
      <c r="L62" s="222">
        <f>Emissions!L$99/1000000</f>
        <v>0</v>
      </c>
      <c r="M62" s="222">
        <f>Emissions!M$99/1000000</f>
        <v>0</v>
      </c>
      <c r="N62" s="222">
        <f>Emissions!N$99/1000000</f>
        <v>0</v>
      </c>
      <c r="O62" s="222">
        <f>Emissions!O$99/1000000</f>
        <v>4.199981173182721E-3</v>
      </c>
      <c r="P62" s="222">
        <f>Emissions!P$99/1000000</f>
        <v>4.5641320707589467E-3</v>
      </c>
      <c r="Q62" s="222">
        <f>Emissions!Q$99/1000000</f>
        <v>4.9430065114977875E-3</v>
      </c>
      <c r="R62" s="222">
        <f>Emissions!R$99/1000000</f>
        <v>5.2871118409671498E-3</v>
      </c>
      <c r="S62" s="222">
        <f>Emissions!S$99/1000000</f>
        <v>5.5320623019408412E-3</v>
      </c>
      <c r="T62" s="222">
        <f>Emissions!T$99/1000000</f>
        <v>5.758464686947587E-3</v>
      </c>
      <c r="U62" s="222">
        <f>Emissions!U$99/1000000</f>
        <v>5.9671856622175792E-3</v>
      </c>
      <c r="V62" s="222">
        <f>Emissions!V$99/1000000</f>
        <v>6.1590573184452336E-3</v>
      </c>
      <c r="W62" s="222">
        <f>Emissions!W$99/1000000</f>
        <v>6.3348784445802818E-3</v>
      </c>
      <c r="X62" s="222">
        <f>Emissions!X$99/1000000</f>
        <v>6.4971497315996834E-3</v>
      </c>
      <c r="Y62" s="222">
        <f>Emissions!Y$99/1000000</f>
        <v>6.6431774610520127E-3</v>
      </c>
      <c r="Z62" s="222">
        <f>Emissions!Z$99/1000000</f>
        <v>6.7753595849813272E-3</v>
      </c>
      <c r="AA62" s="222">
        <f>Emissions!AA$99/1000000</f>
        <v>6.8943737347654365E-3</v>
      </c>
      <c r="AB62" s="222">
        <f>Emissions!AB$99/1000000</f>
        <v>7.0008699602898735E-3</v>
      </c>
      <c r="AC62" s="222">
        <f>Emissions!AC$99/1000000</f>
        <v>7.0973624566991475E-3</v>
      </c>
      <c r="AD62" s="222">
        <f>Emissions!AD$99/1000000</f>
        <v>7.1806893807208252E-3</v>
      </c>
      <c r="AE62" s="222">
        <f>Emissions!AE$99/1000000</f>
        <v>7.253290272916121E-3</v>
      </c>
      <c r="AF62" s="222">
        <f>Emissions!AF$99/1000000</f>
        <v>7.3157149241136425E-3</v>
      </c>
      <c r="AG62" s="222">
        <f>Emissions!AG$99/1000000</f>
        <v>7.3684903241033797E-3</v>
      </c>
      <c r="AH62" s="222">
        <f>Emissions!AH$99/1000000</f>
        <v>7.4140931471962318E-3</v>
      </c>
      <c r="AI62" s="222">
        <f>Emissions!AI$99/1000000</f>
        <v>0</v>
      </c>
      <c r="AJ62" s="222">
        <f>Emissions!AJ$99/1000000</f>
        <v>0</v>
      </c>
      <c r="AK62" s="222">
        <f>Emissions!AK$99/1000000</f>
        <v>0</v>
      </c>
      <c r="AL62" s="222">
        <f>Emissions!AL$99/1000000</f>
        <v>0</v>
      </c>
      <c r="AM62" s="222">
        <f>Emissions!AM$99/1000000</f>
        <v>0</v>
      </c>
      <c r="AN62" s="222">
        <f>Emissions!AN$99/1000000</f>
        <v>0</v>
      </c>
      <c r="AO62" s="222">
        <f>Emissions!AO$99/1000000</f>
        <v>0</v>
      </c>
      <c r="AP62" s="222">
        <f>Emissions!AP$99/1000000</f>
        <v>0</v>
      </c>
      <c r="AQ62" s="222">
        <f>Emissions!AQ$99/1000000</f>
        <v>0</v>
      </c>
      <c r="AR62" s="222">
        <f>Emissions!AR$99/1000000</f>
        <v>0</v>
      </c>
    </row>
    <row r="63" spans="1:44">
      <c r="B63" s="49" t="s">
        <v>35</v>
      </c>
      <c r="D63" s="222">
        <f t="shared" si="17"/>
        <v>1.3942612731173656</v>
      </c>
      <c r="E63" s="222"/>
      <c r="F63" s="222">
        <f>Pedestrian!F$59/1000000</f>
        <v>0</v>
      </c>
      <c r="G63" s="222">
        <f>Pedestrian!G$59/1000000</f>
        <v>0</v>
      </c>
      <c r="H63" s="222">
        <f>Pedestrian!H$59/1000000</f>
        <v>0</v>
      </c>
      <c r="I63" s="222">
        <f>Pedestrian!I$59/1000000</f>
        <v>0</v>
      </c>
      <c r="J63" s="222">
        <f>Pedestrian!J$59/1000000</f>
        <v>0</v>
      </c>
      <c r="K63" s="222">
        <f>Pedestrian!K$59/1000000</f>
        <v>0</v>
      </c>
      <c r="L63" s="222">
        <f>Pedestrian!L$59/1000000</f>
        <v>0</v>
      </c>
      <c r="M63" s="222">
        <f>Pedestrian!M$59/1000000</f>
        <v>0</v>
      </c>
      <c r="N63" s="222">
        <f>Pedestrian!N$59/1000000</f>
        <v>0</v>
      </c>
      <c r="O63" s="222">
        <f>Pedestrian!O$59/1000000</f>
        <v>8.6864106288079737E-2</v>
      </c>
      <c r="P63" s="222">
        <f>Pedestrian!P$59/1000000</f>
        <v>8.4789424905788419E-2</v>
      </c>
      <c r="Q63" s="222">
        <f>Pedestrian!Q$59/1000000</f>
        <v>8.276429566904904E-2</v>
      </c>
      <c r="R63" s="222">
        <f>Pedestrian!R$59/1000000</f>
        <v>8.0787535063539972E-2</v>
      </c>
      <c r="S63" s="222">
        <f>Pedestrian!S$59/1000000</f>
        <v>7.8857987842255395E-2</v>
      </c>
      <c r="T63" s="222">
        <f>Pedestrian!T$59/1000000</f>
        <v>7.6974526350362588E-2</v>
      </c>
      <c r="U63" s="222">
        <f>Pedestrian!U$59/1000000</f>
        <v>7.5136049866184412E-2</v>
      </c>
      <c r="V63" s="222">
        <f>Pedestrian!V$59/1000000</f>
        <v>7.3341483957921852E-2</v>
      </c>
      <c r="W63" s="222">
        <f>Pedestrian!W$59/1000000</f>
        <v>7.1589779855740818E-2</v>
      </c>
      <c r="X63" s="222">
        <f>Pedestrian!X$59/1000000</f>
        <v>6.9879913838856209E-2</v>
      </c>
      <c r="Y63" s="222">
        <f>Pedestrian!Y$59/1000000</f>
        <v>6.82108866372549E-2</v>
      </c>
      <c r="Z63" s="222">
        <f>Pedestrian!Z$59/1000000</f>
        <v>6.6581722847707969E-2</v>
      </c>
      <c r="AA63" s="222">
        <f>Pedestrian!AA$59/1000000</f>
        <v>6.4991470363731443E-2</v>
      </c>
      <c r="AB63" s="222">
        <f>Pedestrian!AB$59/1000000</f>
        <v>6.3439199819161601E-2</v>
      </c>
      <c r="AC63" s="222">
        <f>Pedestrian!AC$59/1000000</f>
        <v>6.1924004045020131E-2</v>
      </c>
      <c r="AD63" s="222">
        <f>Pedestrian!AD$59/1000000</f>
        <v>6.0444997539351807E-2</v>
      </c>
      <c r="AE63" s="222">
        <f>Pedestrian!AE$59/1000000</f>
        <v>5.900131594972443E-2</v>
      </c>
      <c r="AF63" s="222">
        <f>Pedestrian!AF$59/1000000</f>
        <v>5.7592115568088999E-2</v>
      </c>
      <c r="AG63" s="222">
        <f>Pedestrian!AG$59/1000000</f>
        <v>5.6216572837704856E-2</v>
      </c>
      <c r="AH63" s="222">
        <f>Pedestrian!AH$59/1000000</f>
        <v>5.4873883871841243E-2</v>
      </c>
      <c r="AI63" s="222">
        <f>Pedestrian!AI$59/1000000</f>
        <v>0</v>
      </c>
      <c r="AJ63" s="222">
        <f>Pedestrian!AJ$59/1000000</f>
        <v>0</v>
      </c>
      <c r="AK63" s="222">
        <f>Pedestrian!AK$59/1000000</f>
        <v>0</v>
      </c>
      <c r="AL63" s="222">
        <f>Pedestrian!AL$59/1000000</f>
        <v>0</v>
      </c>
      <c r="AM63" s="222">
        <f>Pedestrian!AM$59/1000000</f>
        <v>0</v>
      </c>
      <c r="AN63" s="222">
        <f>Pedestrian!AN$59/1000000</f>
        <v>0</v>
      </c>
      <c r="AO63" s="222">
        <f>Pedestrian!AO$59/1000000</f>
        <v>0</v>
      </c>
      <c r="AP63" s="222">
        <f>Pedestrian!AP$59/1000000</f>
        <v>0</v>
      </c>
      <c r="AQ63" s="222">
        <f>Pedestrian!AQ$59/1000000</f>
        <v>0</v>
      </c>
      <c r="AR63" s="222">
        <f>Pedestrian!AR$59/1000000</f>
        <v>0</v>
      </c>
    </row>
    <row r="64" spans="1:44">
      <c r="B64" s="94" t="s">
        <v>17</v>
      </c>
      <c r="D64" s="222">
        <f t="shared" si="17"/>
        <v>1.9294931329275081E-2</v>
      </c>
      <c r="E64" s="222"/>
      <c r="F64" s="222">
        <f>'Bridge Hits'!F$46/1000000</f>
        <v>0</v>
      </c>
      <c r="G64" s="222">
        <f>'Bridge Hits'!G$46/1000000</f>
        <v>0</v>
      </c>
      <c r="H64" s="222">
        <f>'Bridge Hits'!H$46/1000000</f>
        <v>0</v>
      </c>
      <c r="I64" s="222">
        <f>'Bridge Hits'!I$46/1000000</f>
        <v>0</v>
      </c>
      <c r="J64" s="222">
        <f>'Bridge Hits'!J$46/1000000</f>
        <v>0</v>
      </c>
      <c r="K64" s="222">
        <f>'Bridge Hits'!K$46/1000000</f>
        <v>0</v>
      </c>
      <c r="L64" s="222">
        <f>'Bridge Hits'!L$46/1000000</f>
        <v>0</v>
      </c>
      <c r="M64" s="222">
        <f>'Bridge Hits'!M$46/1000000</f>
        <v>0</v>
      </c>
      <c r="N64" s="222">
        <f>'Bridge Hits'!N$46/1000000</f>
        <v>0</v>
      </c>
      <c r="O64" s="222">
        <f>'Bridge Hits'!O$46/1000000</f>
        <v>1.2591480216796408E-3</v>
      </c>
      <c r="P64" s="222">
        <f>'Bridge Hits'!P$46/1000000</f>
        <v>1.2224738074559619E-3</v>
      </c>
      <c r="Q64" s="222">
        <f>'Bridge Hits'!Q$46/1000000</f>
        <v>1.1868677742290891E-3</v>
      </c>
      <c r="R64" s="222">
        <f>'Bridge Hits'!R$46/1000000</f>
        <v>1.1522988099311544E-3</v>
      </c>
      <c r="S64" s="222">
        <f>'Bridge Hits'!S$46/1000000</f>
        <v>1.1187367086710237E-3</v>
      </c>
      <c r="T64" s="222">
        <f>'Bridge Hits'!T$46/1000000</f>
        <v>1.0861521443407999E-3</v>
      </c>
      <c r="U64" s="222">
        <f>'Bridge Hits'!U$46/1000000</f>
        <v>1.0545166449910681E-3</v>
      </c>
      <c r="V64" s="222">
        <f>'Bridge Hits'!V$46/1000000</f>
        <v>1.0238025679524933E-3</v>
      </c>
      <c r="W64" s="222">
        <f>'Bridge Hits'!W$46/1000000</f>
        <v>9.9398307568203197E-4</v>
      </c>
      <c r="X64" s="222">
        <f>'Bridge Hits'!X$46/1000000</f>
        <v>9.6503211231265245E-4</v>
      </c>
      <c r="Y64" s="222">
        <f>'Bridge Hits'!Y$46/1000000</f>
        <v>9.3692438088607052E-4</v>
      </c>
      <c r="Z64" s="222">
        <f>'Bridge Hits'!Z$46/1000000</f>
        <v>9.0963532124861213E-4</v>
      </c>
      <c r="AA64" s="222">
        <f>'Bridge Hits'!AA$46/1000000</f>
        <v>8.8314108859088543E-4</v>
      </c>
      <c r="AB64" s="222">
        <f>'Bridge Hits'!AB$46/1000000</f>
        <v>8.5741853261251028E-4</v>
      </c>
      <c r="AC64" s="222">
        <f>'Bridge Hits'!AC$46/1000000</f>
        <v>8.3244517729369927E-4</v>
      </c>
      <c r="AD64" s="222">
        <f>'Bridge Hits'!AD$46/1000000</f>
        <v>8.081992012560188E-4</v>
      </c>
      <c r="AE64" s="222">
        <f>'Bridge Hits'!AE$46/1000000</f>
        <v>7.8465941869516399E-4</v>
      </c>
      <c r="AF64" s="222">
        <f>'Bridge Hits'!AF$46/1000000</f>
        <v>7.6180526086909103E-4</v>
      </c>
      <c r="AG64" s="222">
        <f>'Bridge Hits'!AG$46/1000000</f>
        <v>7.3961675812533119E-4</v>
      </c>
      <c r="AH64" s="222">
        <f>'Bridge Hits'!AH$46/1000000</f>
        <v>7.1807452245177788E-4</v>
      </c>
      <c r="AI64" s="222">
        <f>'Bridge Hits'!AI$46/1000000</f>
        <v>0</v>
      </c>
      <c r="AJ64" s="222">
        <f>'Bridge Hits'!AJ$46/1000000</f>
        <v>0</v>
      </c>
      <c r="AK64" s="222">
        <f>'Bridge Hits'!AK$46/1000000</f>
        <v>0</v>
      </c>
      <c r="AL64" s="222">
        <f>'Bridge Hits'!AL$46/1000000</f>
        <v>0</v>
      </c>
      <c r="AM64" s="222">
        <f>'Bridge Hits'!AM$46/1000000</f>
        <v>0</v>
      </c>
      <c r="AN64" s="222">
        <f>'Bridge Hits'!AN$46/1000000</f>
        <v>0</v>
      </c>
      <c r="AO64" s="222">
        <f>'Bridge Hits'!AO$46/1000000</f>
        <v>0</v>
      </c>
      <c r="AP64" s="222">
        <f>'Bridge Hits'!AP$46/1000000</f>
        <v>0</v>
      </c>
      <c r="AQ64" s="222">
        <f>'Bridge Hits'!AQ$46/1000000</f>
        <v>0</v>
      </c>
      <c r="AR64" s="222">
        <f>'Bridge Hits'!AR$46/1000000</f>
        <v>0</v>
      </c>
    </row>
    <row r="65" spans="1:44">
      <c r="B65" s="94" t="s">
        <v>18</v>
      </c>
      <c r="D65" s="222">
        <f t="shared" si="17"/>
        <v>2.4111941044453351</v>
      </c>
      <c r="E65" s="222"/>
      <c r="F65" s="222">
        <f>'Residual Value'!F$55/1000000</f>
        <v>0</v>
      </c>
      <c r="G65" s="222">
        <f>'Residual Value'!G$55/1000000</f>
        <v>0</v>
      </c>
      <c r="H65" s="222">
        <f>'Residual Value'!H$55/1000000</f>
        <v>0</v>
      </c>
      <c r="I65" s="222">
        <f>'Residual Value'!I$55/1000000</f>
        <v>0</v>
      </c>
      <c r="J65" s="222">
        <f>'Residual Value'!J$55/1000000</f>
        <v>0</v>
      </c>
      <c r="K65" s="222">
        <f>'Residual Value'!K$55/1000000</f>
        <v>0</v>
      </c>
      <c r="L65" s="222">
        <f>'Residual Value'!L$55/1000000</f>
        <v>0</v>
      </c>
      <c r="M65" s="222">
        <f>'Residual Value'!M$55/1000000</f>
        <v>0</v>
      </c>
      <c r="N65" s="222">
        <f>'Residual Value'!N$55/1000000</f>
        <v>0</v>
      </c>
      <c r="O65" s="222">
        <f>'Residual Value'!O$55/1000000</f>
        <v>0</v>
      </c>
      <c r="P65" s="222">
        <f>'Residual Value'!P$55/1000000</f>
        <v>0</v>
      </c>
      <c r="Q65" s="222">
        <f>'Residual Value'!Q$55/1000000</f>
        <v>0</v>
      </c>
      <c r="R65" s="222">
        <f>'Residual Value'!R$55/1000000</f>
        <v>0</v>
      </c>
      <c r="S65" s="222">
        <f>'Residual Value'!S$55/1000000</f>
        <v>0</v>
      </c>
      <c r="T65" s="222">
        <f>'Residual Value'!T$55/1000000</f>
        <v>0</v>
      </c>
      <c r="U65" s="222">
        <f>'Residual Value'!U$55/1000000</f>
        <v>0</v>
      </c>
      <c r="V65" s="222">
        <f>'Residual Value'!V$55/1000000</f>
        <v>0</v>
      </c>
      <c r="W65" s="222">
        <f>'Residual Value'!W$55/1000000</f>
        <v>0</v>
      </c>
      <c r="X65" s="222">
        <f>'Residual Value'!X$55/1000000</f>
        <v>0</v>
      </c>
      <c r="Y65" s="222">
        <f>'Residual Value'!Y$55/1000000</f>
        <v>0</v>
      </c>
      <c r="Z65" s="222">
        <f>'Residual Value'!Z$55/1000000</f>
        <v>0</v>
      </c>
      <c r="AA65" s="222">
        <f>'Residual Value'!AA$55/1000000</f>
        <v>0</v>
      </c>
      <c r="AB65" s="222">
        <f>'Residual Value'!AB$55/1000000</f>
        <v>0</v>
      </c>
      <c r="AC65" s="222">
        <f>'Residual Value'!AC$55/1000000</f>
        <v>0</v>
      </c>
      <c r="AD65" s="222">
        <f>'Residual Value'!AD$55/1000000</f>
        <v>0</v>
      </c>
      <c r="AE65" s="222">
        <f>'Residual Value'!AE$55/1000000</f>
        <v>0</v>
      </c>
      <c r="AF65" s="222">
        <f>'Residual Value'!AF$55/1000000</f>
        <v>0</v>
      </c>
      <c r="AG65" s="222">
        <f>'Residual Value'!AG$55/1000000</f>
        <v>0</v>
      </c>
      <c r="AH65" s="222">
        <f>'Residual Value'!AH$55/1000000</f>
        <v>2.4111941044453351</v>
      </c>
      <c r="AI65" s="222">
        <f>'Residual Value'!AI$55/1000000</f>
        <v>0</v>
      </c>
      <c r="AJ65" s="222">
        <f>'Residual Value'!AJ$55/1000000</f>
        <v>0</v>
      </c>
      <c r="AK65" s="222">
        <f>'Residual Value'!AK$55/1000000</f>
        <v>0</v>
      </c>
      <c r="AL65" s="222">
        <f>'Residual Value'!AL$55/1000000</f>
        <v>0</v>
      </c>
      <c r="AM65" s="222">
        <f>'Residual Value'!AM$55/1000000</f>
        <v>0</v>
      </c>
      <c r="AN65" s="222">
        <f>'Residual Value'!AN$55/1000000</f>
        <v>0</v>
      </c>
      <c r="AO65" s="222">
        <f>'Residual Value'!AO$55/1000000</f>
        <v>0</v>
      </c>
      <c r="AP65" s="222">
        <f>'Residual Value'!AP$55/1000000</f>
        <v>0</v>
      </c>
      <c r="AQ65" s="222">
        <f>'Residual Value'!AQ$55/1000000</f>
        <v>0</v>
      </c>
      <c r="AR65" s="222">
        <f>'Residual Value'!AR$55/1000000</f>
        <v>0</v>
      </c>
    </row>
    <row r="66" spans="1:44" ht="15.75" thickBot="1">
      <c r="B66" s="204" t="s">
        <v>25</v>
      </c>
      <c r="C66" s="206"/>
      <c r="D66" s="223">
        <f t="shared" si="17"/>
        <v>39.165084370372632</v>
      </c>
      <c r="E66" s="223"/>
      <c r="F66" s="223">
        <f t="shared" ref="F66:AR66" si="18">SUM(F59:F65)</f>
        <v>0</v>
      </c>
      <c r="G66" s="223">
        <f t="shared" si="18"/>
        <v>0</v>
      </c>
      <c r="H66" s="223">
        <f t="shared" si="18"/>
        <v>0</v>
      </c>
      <c r="I66" s="223">
        <f t="shared" si="18"/>
        <v>0</v>
      </c>
      <c r="J66" s="223">
        <f t="shared" si="18"/>
        <v>0</v>
      </c>
      <c r="K66" s="223">
        <f t="shared" si="18"/>
        <v>0</v>
      </c>
      <c r="L66" s="223">
        <f t="shared" si="18"/>
        <v>0</v>
      </c>
      <c r="M66" s="223">
        <f t="shared" si="18"/>
        <v>0</v>
      </c>
      <c r="N66" s="223">
        <f t="shared" si="18"/>
        <v>0</v>
      </c>
      <c r="O66" s="223">
        <f t="shared" si="18"/>
        <v>1.6931224385308234</v>
      </c>
      <c r="P66" s="223">
        <f t="shared" si="18"/>
        <v>1.723258346464952</v>
      </c>
      <c r="Q66" s="223">
        <f t="shared" si="18"/>
        <v>1.7502330113911766</v>
      </c>
      <c r="R66" s="223">
        <f t="shared" si="18"/>
        <v>1.775077269122866</v>
      </c>
      <c r="S66" s="223">
        <f t="shared" si="18"/>
        <v>1.7976161114976772</v>
      </c>
      <c r="T66" s="223">
        <f t="shared" si="18"/>
        <v>1.8164490684707348</v>
      </c>
      <c r="U66" s="223">
        <f t="shared" si="18"/>
        <v>1.832681734758504</v>
      </c>
      <c r="V66" s="223">
        <f t="shared" si="18"/>
        <v>1.8465238914761268</v>
      </c>
      <c r="W66" s="223">
        <f t="shared" si="18"/>
        <v>1.8578666619677977</v>
      </c>
      <c r="X66" s="223">
        <f t="shared" si="18"/>
        <v>1.8672927357095905</v>
      </c>
      <c r="Y66" s="223">
        <f t="shared" si="18"/>
        <v>1.8746523325155968</v>
      </c>
      <c r="Z66" s="223">
        <f t="shared" si="18"/>
        <v>1.8803995834724203</v>
      </c>
      <c r="AA66" s="223">
        <f t="shared" si="18"/>
        <v>1.8836262155575683</v>
      </c>
      <c r="AB66" s="223">
        <f t="shared" si="18"/>
        <v>1.8856477824601769</v>
      </c>
      <c r="AC66" s="223">
        <f t="shared" si="18"/>
        <v>1.8859460149784888</v>
      </c>
      <c r="AD66" s="223">
        <f t="shared" si="18"/>
        <v>1.8843583342316628</v>
      </c>
      <c r="AE66" s="223">
        <f t="shared" si="18"/>
        <v>1.8819698453743274</v>
      </c>
      <c r="AF66" s="223">
        <f t="shared" si="18"/>
        <v>1.8782032884825193</v>
      </c>
      <c r="AG66" s="223">
        <f t="shared" si="18"/>
        <v>1.8726633891451892</v>
      </c>
      <c r="AH66" s="223">
        <f t="shared" si="18"/>
        <v>4.2774963147644272</v>
      </c>
      <c r="AI66" s="223">
        <f t="shared" si="18"/>
        <v>0</v>
      </c>
      <c r="AJ66" s="223">
        <f t="shared" si="18"/>
        <v>0</v>
      </c>
      <c r="AK66" s="223">
        <f t="shared" si="18"/>
        <v>0</v>
      </c>
      <c r="AL66" s="223">
        <f t="shared" si="18"/>
        <v>0</v>
      </c>
      <c r="AM66" s="223">
        <f t="shared" si="18"/>
        <v>0</v>
      </c>
      <c r="AN66" s="223">
        <f t="shared" si="18"/>
        <v>0</v>
      </c>
      <c r="AO66" s="223">
        <f t="shared" si="18"/>
        <v>0</v>
      </c>
      <c r="AP66" s="223">
        <f t="shared" si="18"/>
        <v>0</v>
      </c>
      <c r="AQ66" s="223">
        <f t="shared" si="18"/>
        <v>0</v>
      </c>
      <c r="AR66" s="224">
        <f t="shared" si="18"/>
        <v>0</v>
      </c>
    </row>
    <row r="67" spans="1:44" ht="15" thickBot="1">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row>
    <row r="68" spans="1:44" ht="18" thickBot="1">
      <c r="B68" s="51" t="s">
        <v>36</v>
      </c>
      <c r="C68" s="52"/>
      <c r="D68" s="52" t="s">
        <v>33</v>
      </c>
      <c r="E68" s="52"/>
      <c r="F68" s="93">
        <f t="shared" ref="F68:AR68" si="19">F58</f>
        <v>2018</v>
      </c>
      <c r="G68" s="93">
        <f t="shared" si="19"/>
        <v>2019</v>
      </c>
      <c r="H68" s="93">
        <f t="shared" si="19"/>
        <v>2020</v>
      </c>
      <c r="I68" s="93">
        <f t="shared" si="19"/>
        <v>2021</v>
      </c>
      <c r="J68" s="93">
        <f t="shared" si="19"/>
        <v>2022</v>
      </c>
      <c r="K68" s="93">
        <f t="shared" si="19"/>
        <v>2023</v>
      </c>
      <c r="L68" s="93">
        <f t="shared" si="19"/>
        <v>2024</v>
      </c>
      <c r="M68" s="93">
        <f t="shared" si="19"/>
        <v>2025</v>
      </c>
      <c r="N68" s="93">
        <f t="shared" si="19"/>
        <v>2026</v>
      </c>
      <c r="O68" s="93">
        <f t="shared" si="19"/>
        <v>2027</v>
      </c>
      <c r="P68" s="93">
        <f t="shared" si="19"/>
        <v>2028</v>
      </c>
      <c r="Q68" s="93">
        <f t="shared" si="19"/>
        <v>2029</v>
      </c>
      <c r="R68" s="93">
        <f t="shared" si="19"/>
        <v>2030</v>
      </c>
      <c r="S68" s="93">
        <f t="shared" si="19"/>
        <v>2031</v>
      </c>
      <c r="T68" s="93">
        <f t="shared" si="19"/>
        <v>2032</v>
      </c>
      <c r="U68" s="93">
        <f t="shared" si="19"/>
        <v>2033</v>
      </c>
      <c r="V68" s="93">
        <f t="shared" si="19"/>
        <v>2034</v>
      </c>
      <c r="W68" s="93">
        <f t="shared" si="19"/>
        <v>2035</v>
      </c>
      <c r="X68" s="93">
        <f t="shared" si="19"/>
        <v>2036</v>
      </c>
      <c r="Y68" s="93">
        <f t="shared" si="19"/>
        <v>2037</v>
      </c>
      <c r="Z68" s="93">
        <f t="shared" si="19"/>
        <v>2038</v>
      </c>
      <c r="AA68" s="93">
        <f t="shared" si="19"/>
        <v>2039</v>
      </c>
      <c r="AB68" s="93">
        <f t="shared" si="19"/>
        <v>2040</v>
      </c>
      <c r="AC68" s="93">
        <f t="shared" si="19"/>
        <v>2041</v>
      </c>
      <c r="AD68" s="93">
        <f t="shared" si="19"/>
        <v>2042</v>
      </c>
      <c r="AE68" s="93">
        <f t="shared" si="19"/>
        <v>2043</v>
      </c>
      <c r="AF68" s="93">
        <f t="shared" si="19"/>
        <v>2044</v>
      </c>
      <c r="AG68" s="93">
        <f t="shared" si="19"/>
        <v>2045</v>
      </c>
      <c r="AH68" s="93">
        <f t="shared" si="19"/>
        <v>2046</v>
      </c>
      <c r="AI68" s="93">
        <f t="shared" si="19"/>
        <v>2047</v>
      </c>
      <c r="AJ68" s="93">
        <f t="shared" si="19"/>
        <v>2048</v>
      </c>
      <c r="AK68" s="93">
        <f t="shared" si="19"/>
        <v>2049</v>
      </c>
      <c r="AL68" s="93">
        <f t="shared" si="19"/>
        <v>2050</v>
      </c>
      <c r="AM68" s="93">
        <f t="shared" si="19"/>
        <v>2051</v>
      </c>
      <c r="AN68" s="93">
        <f t="shared" si="19"/>
        <v>2052</v>
      </c>
      <c r="AO68" s="93">
        <f t="shared" si="19"/>
        <v>2053</v>
      </c>
      <c r="AP68" s="93">
        <f t="shared" si="19"/>
        <v>2054</v>
      </c>
      <c r="AQ68" s="93">
        <f t="shared" si="19"/>
        <v>2055</v>
      </c>
      <c r="AR68" s="205">
        <f t="shared" si="19"/>
        <v>2056</v>
      </c>
    </row>
    <row r="69" spans="1:44">
      <c r="B69" s="54" t="s">
        <v>22</v>
      </c>
      <c r="D69" s="222">
        <f>SUM(F69:AR69)</f>
        <v>-18.822812166416753</v>
      </c>
      <c r="E69" s="222"/>
      <c r="F69" s="222">
        <f>-'Project Costs'!F$67/1000000</f>
        <v>0</v>
      </c>
      <c r="G69" s="222">
        <f>-'Project Costs'!G$67/1000000</f>
        <v>0</v>
      </c>
      <c r="H69" s="222">
        <f>-'Project Costs'!H$67/1000000</f>
        <v>0</v>
      </c>
      <c r="I69" s="222">
        <f>-'Project Costs'!I$67/1000000</f>
        <v>0</v>
      </c>
      <c r="J69" s="222">
        <f>-'Project Costs'!J$67/1000000</f>
        <v>0</v>
      </c>
      <c r="K69" s="222">
        <f>-'Project Costs'!K$67/1000000</f>
        <v>0</v>
      </c>
      <c r="L69" s="222">
        <f>-'Project Costs'!L$67/1000000</f>
        <v>-1.3292976203404092</v>
      </c>
      <c r="M69" s="222">
        <f>-'Project Costs'!M$67/1000000</f>
        <v>-5.9466399937677403</v>
      </c>
      <c r="N69" s="222">
        <f>-'Project Costs'!N$67/1000000</f>
        <v>-11.546874552308601</v>
      </c>
      <c r="O69" s="222">
        <f>-'Project Costs'!O$67/1000000</f>
        <v>0</v>
      </c>
      <c r="P69" s="222">
        <f>-'Project Costs'!P$67/1000000</f>
        <v>0</v>
      </c>
      <c r="Q69" s="222">
        <f>-'Project Costs'!Q$67/1000000</f>
        <v>0</v>
      </c>
      <c r="R69" s="222">
        <f>-'Project Costs'!R$67/1000000</f>
        <v>0</v>
      </c>
      <c r="S69" s="222">
        <f>-'Project Costs'!S$67/1000000</f>
        <v>0</v>
      </c>
      <c r="T69" s="222">
        <f>-'Project Costs'!T$67/1000000</f>
        <v>0</v>
      </c>
      <c r="U69" s="222">
        <f>-'Project Costs'!U$67/1000000</f>
        <v>0</v>
      </c>
      <c r="V69" s="222">
        <f>-'Project Costs'!V$67/1000000</f>
        <v>0</v>
      </c>
      <c r="W69" s="222">
        <f>-'Project Costs'!W$67/1000000</f>
        <v>0</v>
      </c>
      <c r="X69" s="222">
        <f>-'Project Costs'!X$67/1000000</f>
        <v>0</v>
      </c>
      <c r="Y69" s="222">
        <f>-'Project Costs'!Y$67/1000000</f>
        <v>0</v>
      </c>
      <c r="Z69" s="222">
        <f>-'Project Costs'!Z$67/1000000</f>
        <v>0</v>
      </c>
      <c r="AA69" s="222">
        <f>-'Project Costs'!AA$67/1000000</f>
        <v>0</v>
      </c>
      <c r="AB69" s="222">
        <f>-'Project Costs'!AB$67/1000000</f>
        <v>0</v>
      </c>
      <c r="AC69" s="222">
        <f>-'Project Costs'!AC$67/1000000</f>
        <v>0</v>
      </c>
      <c r="AD69" s="222">
        <f>-'Project Costs'!AD$67/1000000</f>
        <v>0</v>
      </c>
      <c r="AE69" s="222">
        <f>-'Project Costs'!AE$67/1000000</f>
        <v>0</v>
      </c>
      <c r="AF69" s="222">
        <f>-'Project Costs'!AF$67/1000000</f>
        <v>0</v>
      </c>
      <c r="AG69" s="222">
        <f>-'Project Costs'!AG$67/1000000</f>
        <v>0</v>
      </c>
      <c r="AH69" s="222">
        <f>-'Project Costs'!AH$67/1000000</f>
        <v>0</v>
      </c>
      <c r="AI69" s="222">
        <f>-'Project Costs'!AI$67/1000000</f>
        <v>0</v>
      </c>
      <c r="AJ69" s="222">
        <f>-'Project Costs'!AJ$67/1000000</f>
        <v>0</v>
      </c>
      <c r="AK69" s="222">
        <f>-'Project Costs'!AK$67/1000000</f>
        <v>0</v>
      </c>
      <c r="AL69" s="222">
        <f>-'Project Costs'!AL$67/1000000</f>
        <v>0</v>
      </c>
      <c r="AM69" s="222">
        <f>-'Project Costs'!AM$67/1000000</f>
        <v>0</v>
      </c>
      <c r="AN69" s="222">
        <f>-'Project Costs'!AN$67/1000000</f>
        <v>0</v>
      </c>
      <c r="AO69" s="222">
        <f>-'Project Costs'!AO$67/1000000</f>
        <v>0</v>
      </c>
      <c r="AP69" s="222">
        <f>-'Project Costs'!AP$67/1000000</f>
        <v>0</v>
      </c>
      <c r="AQ69" s="222">
        <f>-'Project Costs'!AQ$67/1000000</f>
        <v>0</v>
      </c>
      <c r="AR69" s="222">
        <f>-'Project Costs'!AR$67/1000000</f>
        <v>0</v>
      </c>
    </row>
    <row r="70" spans="1:44" ht="15" thickBot="1">
      <c r="B70" s="210" t="s">
        <v>23</v>
      </c>
      <c r="D70" s="222">
        <f>SUM(F70:AR70)</f>
        <v>2.1614095324769913</v>
      </c>
      <c r="E70" s="222"/>
      <c r="F70" s="222">
        <f>-'Project Costs'!F$72/1000000</f>
        <v>0</v>
      </c>
      <c r="G70" s="222">
        <f>-'Project Costs'!G$72/1000000</f>
        <v>0</v>
      </c>
      <c r="H70" s="222">
        <f>-'Project Costs'!H$72/1000000</f>
        <v>0</v>
      </c>
      <c r="I70" s="222">
        <f>-'Project Costs'!I$72/1000000</f>
        <v>0</v>
      </c>
      <c r="J70" s="222">
        <f>-'Project Costs'!J$72/1000000</f>
        <v>0</v>
      </c>
      <c r="K70" s="222">
        <f>-'Project Costs'!K$72/1000000</f>
        <v>0</v>
      </c>
      <c r="L70" s="222">
        <f>-'Project Costs'!L$72/1000000</f>
        <v>0</v>
      </c>
      <c r="M70" s="222">
        <f>-'Project Costs'!M$72/1000000</f>
        <v>0</v>
      </c>
      <c r="N70" s="222">
        <f>-'Project Costs'!N$72/1000000</f>
        <v>0</v>
      </c>
      <c r="O70" s="222">
        <f>-'Project Costs'!O$72/1000000</f>
        <v>-0.26436971703581935</v>
      </c>
      <c r="P70" s="222">
        <f>-'Project Costs'!P$72/1000000</f>
        <v>0</v>
      </c>
      <c r="Q70" s="222">
        <f>-'Project Costs'!Q$72/1000000</f>
        <v>0</v>
      </c>
      <c r="R70" s="222">
        <f>-'Project Costs'!R$72/1000000</f>
        <v>1.1142869009936762</v>
      </c>
      <c r="S70" s="222">
        <f>-'Project Costs'!S$72/1000000</f>
        <v>0</v>
      </c>
      <c r="T70" s="222">
        <f>-'Project Costs'!T$72/1000000</f>
        <v>0</v>
      </c>
      <c r="U70" s="222">
        <f>-'Project Costs'!U$72/1000000</f>
        <v>0</v>
      </c>
      <c r="V70" s="222">
        <f>-'Project Costs'!V$72/1000000</f>
        <v>0</v>
      </c>
      <c r="W70" s="222">
        <f>-'Project Costs'!W$72/1000000</f>
        <v>0.59627398828868006</v>
      </c>
      <c r="X70" s="222">
        <f>-'Project Costs'!X$72/1000000</f>
        <v>0</v>
      </c>
      <c r="Y70" s="222">
        <f>-'Project Costs'!Y$72/1000000</f>
        <v>0</v>
      </c>
      <c r="Z70" s="222">
        <f>-'Project Costs'!Z$72/1000000</f>
        <v>0</v>
      </c>
      <c r="AA70" s="222">
        <f>-'Project Costs'!AA$72/1000000</f>
        <v>0</v>
      </c>
      <c r="AB70" s="222">
        <f>-'Project Costs'!AB$72/1000000</f>
        <v>0</v>
      </c>
      <c r="AC70" s="222">
        <f>-'Project Costs'!AC$72/1000000</f>
        <v>0</v>
      </c>
      <c r="AD70" s="222">
        <f>-'Project Costs'!AD$72/1000000</f>
        <v>0</v>
      </c>
      <c r="AE70" s="222">
        <f>-'Project Costs'!AE$72/1000000</f>
        <v>0</v>
      </c>
      <c r="AF70" s="222">
        <f>-'Project Costs'!AF$72/1000000</f>
        <v>0</v>
      </c>
      <c r="AG70" s="222">
        <f>-'Project Costs'!AG$72/1000000</f>
        <v>0.71521836023045471</v>
      </c>
      <c r="AH70" s="222">
        <f>-'Project Costs'!AH$72/1000000</f>
        <v>0</v>
      </c>
      <c r="AI70" s="222">
        <f>-'Project Costs'!AI$72/1000000</f>
        <v>0</v>
      </c>
      <c r="AJ70" s="222">
        <f>-'Project Costs'!AJ$72/1000000</f>
        <v>0</v>
      </c>
      <c r="AK70" s="222">
        <f>-'Project Costs'!AK$72/1000000</f>
        <v>0</v>
      </c>
      <c r="AL70" s="222">
        <f>-'Project Costs'!AL$72/1000000</f>
        <v>0</v>
      </c>
      <c r="AM70" s="222">
        <f>-'Project Costs'!AM$72/1000000</f>
        <v>0</v>
      </c>
      <c r="AN70" s="222">
        <f>-'Project Costs'!AN$72/1000000</f>
        <v>0</v>
      </c>
      <c r="AO70" s="222">
        <f>-'Project Costs'!AO$72/1000000</f>
        <v>0</v>
      </c>
      <c r="AP70" s="222">
        <f>-'Project Costs'!AP$72/1000000</f>
        <v>0</v>
      </c>
      <c r="AQ70" s="222">
        <f>-'Project Costs'!AQ$72/1000000</f>
        <v>0</v>
      </c>
      <c r="AR70" s="222">
        <f>-'Project Costs'!AR$72/1000000</f>
        <v>0</v>
      </c>
    </row>
    <row r="71" spans="1:44" ht="15.75" thickBot="1">
      <c r="B71" s="211" t="s">
        <v>26</v>
      </c>
      <c r="C71" s="209"/>
      <c r="D71" s="225">
        <f t="shared" ref="D71" si="20">SUM(F71:AR71)</f>
        <v>-16.661402633939762</v>
      </c>
      <c r="E71" s="225"/>
      <c r="F71" s="225">
        <f>SUM(F69:F70)</f>
        <v>0</v>
      </c>
      <c r="G71" s="225">
        <f t="shared" ref="G71" si="21">SUM(G69:G70)</f>
        <v>0</v>
      </c>
      <c r="H71" s="225">
        <f t="shared" ref="H71" si="22">SUM(H69:H70)</f>
        <v>0</v>
      </c>
      <c r="I71" s="225">
        <f t="shared" ref="I71" si="23">SUM(I69:I70)</f>
        <v>0</v>
      </c>
      <c r="J71" s="225">
        <f t="shared" ref="J71" si="24">SUM(J69:J70)</f>
        <v>0</v>
      </c>
      <c r="K71" s="225">
        <f t="shared" ref="K71" si="25">SUM(K69:K70)</f>
        <v>0</v>
      </c>
      <c r="L71" s="225">
        <f t="shared" ref="L71" si="26">SUM(L69:L70)</f>
        <v>-1.3292976203404092</v>
      </c>
      <c r="M71" s="225">
        <f t="shared" ref="M71" si="27">SUM(M69:M70)</f>
        <v>-5.9466399937677403</v>
      </c>
      <c r="N71" s="225">
        <f t="shared" ref="N71" si="28">SUM(N69:N70)</f>
        <v>-11.546874552308601</v>
      </c>
      <c r="O71" s="225">
        <f t="shared" ref="O71" si="29">SUM(O69:O70)</f>
        <v>-0.26436971703581935</v>
      </c>
      <c r="P71" s="225">
        <f t="shared" ref="P71" si="30">SUM(P69:P70)</f>
        <v>0</v>
      </c>
      <c r="Q71" s="225">
        <f t="shared" ref="Q71" si="31">SUM(Q69:Q70)</f>
        <v>0</v>
      </c>
      <c r="R71" s="225">
        <f t="shared" ref="R71" si="32">SUM(R69:R70)</f>
        <v>1.1142869009936762</v>
      </c>
      <c r="S71" s="225">
        <f t="shared" ref="S71" si="33">SUM(S69:S70)</f>
        <v>0</v>
      </c>
      <c r="T71" s="225">
        <f t="shared" ref="T71" si="34">SUM(T69:T70)</f>
        <v>0</v>
      </c>
      <c r="U71" s="225">
        <f t="shared" ref="U71" si="35">SUM(U69:U70)</f>
        <v>0</v>
      </c>
      <c r="V71" s="225">
        <f t="shared" ref="V71" si="36">SUM(V69:V70)</f>
        <v>0</v>
      </c>
      <c r="W71" s="225">
        <f t="shared" ref="W71" si="37">SUM(W69:W70)</f>
        <v>0.59627398828868006</v>
      </c>
      <c r="X71" s="225">
        <f t="shared" ref="X71" si="38">SUM(X69:X70)</f>
        <v>0</v>
      </c>
      <c r="Y71" s="225">
        <f t="shared" ref="Y71" si="39">SUM(Y69:Y70)</f>
        <v>0</v>
      </c>
      <c r="Z71" s="225">
        <f t="shared" ref="Z71" si="40">SUM(Z69:Z70)</f>
        <v>0</v>
      </c>
      <c r="AA71" s="225">
        <f t="shared" ref="AA71" si="41">SUM(AA69:AA70)</f>
        <v>0</v>
      </c>
      <c r="AB71" s="225">
        <f t="shared" ref="AB71" si="42">SUM(AB69:AB70)</f>
        <v>0</v>
      </c>
      <c r="AC71" s="225">
        <f t="shared" ref="AC71" si="43">SUM(AC69:AC70)</f>
        <v>0</v>
      </c>
      <c r="AD71" s="225">
        <f t="shared" ref="AD71" si="44">SUM(AD69:AD70)</f>
        <v>0</v>
      </c>
      <c r="AE71" s="225">
        <f t="shared" ref="AE71" si="45">SUM(AE69:AE70)</f>
        <v>0</v>
      </c>
      <c r="AF71" s="225">
        <f t="shared" ref="AF71" si="46">SUM(AF69:AF70)</f>
        <v>0</v>
      </c>
      <c r="AG71" s="225">
        <f t="shared" ref="AG71" si="47">SUM(AG69:AG70)</f>
        <v>0.71521836023045471</v>
      </c>
      <c r="AH71" s="225">
        <f t="shared" ref="AH71" si="48">SUM(AH69:AH70)</f>
        <v>0</v>
      </c>
      <c r="AI71" s="225">
        <f t="shared" ref="AI71" si="49">SUM(AI69:AI70)</f>
        <v>0</v>
      </c>
      <c r="AJ71" s="225">
        <f t="shared" ref="AJ71" si="50">SUM(AJ69:AJ70)</f>
        <v>0</v>
      </c>
      <c r="AK71" s="225">
        <f t="shared" ref="AK71" si="51">SUM(AK69:AK70)</f>
        <v>0</v>
      </c>
      <c r="AL71" s="225">
        <f t="shared" ref="AL71" si="52">SUM(AL69:AL70)</f>
        <v>0</v>
      </c>
      <c r="AM71" s="225">
        <f t="shared" ref="AM71" si="53">SUM(AM69:AM70)</f>
        <v>0</v>
      </c>
      <c r="AN71" s="225">
        <f t="shared" ref="AN71" si="54">SUM(AN69:AN70)</f>
        <v>0</v>
      </c>
      <c r="AO71" s="225">
        <f t="shared" ref="AO71" si="55">SUM(AO69:AO70)</f>
        <v>0</v>
      </c>
      <c r="AP71" s="225">
        <f t="shared" ref="AP71" si="56">SUM(AP69:AP70)</f>
        <v>0</v>
      </c>
      <c r="AQ71" s="225">
        <f t="shared" ref="AQ71" si="57">SUM(AQ69:AQ70)</f>
        <v>0</v>
      </c>
      <c r="AR71" s="226">
        <f t="shared" ref="AR71" si="58">SUM(AR69:AR70)</f>
        <v>0</v>
      </c>
    </row>
    <row r="72" spans="1:44" ht="15.75" thickBot="1">
      <c r="B72" s="2"/>
      <c r="C72" s="2"/>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row>
    <row r="73" spans="1:44" ht="15.75" thickBot="1">
      <c r="B73" s="208" t="s">
        <v>37</v>
      </c>
      <c r="C73" s="209"/>
      <c r="D73" s="225">
        <f t="shared" ref="D73" si="59">SUM(F73:AR73)</f>
        <v>22.503681736432867</v>
      </c>
      <c r="E73" s="225"/>
      <c r="F73" s="225">
        <f t="shared" ref="F73:K73" si="60">F66+F71</f>
        <v>0</v>
      </c>
      <c r="G73" s="225">
        <f t="shared" si="60"/>
        <v>0</v>
      </c>
      <c r="H73" s="225">
        <f t="shared" si="60"/>
        <v>0</v>
      </c>
      <c r="I73" s="225">
        <f t="shared" si="60"/>
        <v>0</v>
      </c>
      <c r="J73" s="225">
        <f t="shared" si="60"/>
        <v>0</v>
      </c>
      <c r="K73" s="225">
        <f t="shared" si="60"/>
        <v>0</v>
      </c>
      <c r="L73" s="225">
        <f>L66+L71</f>
        <v>-1.3292976203404092</v>
      </c>
      <c r="M73" s="225">
        <f t="shared" ref="M73:AR73" si="61">M66+M71</f>
        <v>-5.9466399937677403</v>
      </c>
      <c r="N73" s="225">
        <f t="shared" si="61"/>
        <v>-11.546874552308601</v>
      </c>
      <c r="O73" s="225">
        <f t="shared" si="61"/>
        <v>1.428752721495004</v>
      </c>
      <c r="P73" s="225">
        <f t="shared" si="61"/>
        <v>1.723258346464952</v>
      </c>
      <c r="Q73" s="225">
        <f t="shared" si="61"/>
        <v>1.7502330113911766</v>
      </c>
      <c r="R73" s="225">
        <f t="shared" si="61"/>
        <v>2.8893641701165422</v>
      </c>
      <c r="S73" s="225">
        <f t="shared" si="61"/>
        <v>1.7976161114976772</v>
      </c>
      <c r="T73" s="225">
        <f t="shared" si="61"/>
        <v>1.8164490684707348</v>
      </c>
      <c r="U73" s="225">
        <f t="shared" si="61"/>
        <v>1.832681734758504</v>
      </c>
      <c r="V73" s="225">
        <f t="shared" si="61"/>
        <v>1.8465238914761268</v>
      </c>
      <c r="W73" s="225">
        <f t="shared" si="61"/>
        <v>2.4541406502564778</v>
      </c>
      <c r="X73" s="225">
        <f t="shared" si="61"/>
        <v>1.8672927357095905</v>
      </c>
      <c r="Y73" s="225">
        <f t="shared" si="61"/>
        <v>1.8746523325155968</v>
      </c>
      <c r="Z73" s="225">
        <f t="shared" si="61"/>
        <v>1.8803995834724203</v>
      </c>
      <c r="AA73" s="225">
        <f t="shared" si="61"/>
        <v>1.8836262155575683</v>
      </c>
      <c r="AB73" s="225">
        <f t="shared" si="61"/>
        <v>1.8856477824601769</v>
      </c>
      <c r="AC73" s="225">
        <f t="shared" si="61"/>
        <v>1.8859460149784888</v>
      </c>
      <c r="AD73" s="225">
        <f t="shared" si="61"/>
        <v>1.8843583342316628</v>
      </c>
      <c r="AE73" s="225">
        <f t="shared" si="61"/>
        <v>1.8819698453743274</v>
      </c>
      <c r="AF73" s="225">
        <f t="shared" si="61"/>
        <v>1.8782032884825193</v>
      </c>
      <c r="AG73" s="225">
        <f t="shared" si="61"/>
        <v>2.5878817493756436</v>
      </c>
      <c r="AH73" s="225">
        <f t="shared" si="61"/>
        <v>4.2774963147644272</v>
      </c>
      <c r="AI73" s="225">
        <f t="shared" si="61"/>
        <v>0</v>
      </c>
      <c r="AJ73" s="225">
        <f t="shared" si="61"/>
        <v>0</v>
      </c>
      <c r="AK73" s="225">
        <f t="shared" si="61"/>
        <v>0</v>
      </c>
      <c r="AL73" s="225">
        <f t="shared" si="61"/>
        <v>0</v>
      </c>
      <c r="AM73" s="225">
        <f t="shared" si="61"/>
        <v>0</v>
      </c>
      <c r="AN73" s="225">
        <f t="shared" si="61"/>
        <v>0</v>
      </c>
      <c r="AO73" s="225">
        <f t="shared" si="61"/>
        <v>0</v>
      </c>
      <c r="AP73" s="225">
        <f t="shared" si="61"/>
        <v>0</v>
      </c>
      <c r="AQ73" s="225">
        <f t="shared" si="61"/>
        <v>0</v>
      </c>
      <c r="AR73" s="225">
        <f t="shared" si="61"/>
        <v>0</v>
      </c>
    </row>
    <row r="76" spans="1:44" ht="15.75" thickBot="1">
      <c r="A76" s="2" t="s">
        <v>39</v>
      </c>
    </row>
    <row r="77" spans="1:44" ht="18" thickBot="1">
      <c r="B77" s="51" t="s">
        <v>32</v>
      </c>
      <c r="C77" s="52"/>
      <c r="D77" s="52" t="s">
        <v>33</v>
      </c>
      <c r="E77" s="52"/>
      <c r="F77" s="93">
        <f t="shared" ref="F77:AR77" si="62">F58</f>
        <v>2018</v>
      </c>
      <c r="G77" s="93">
        <f t="shared" si="62"/>
        <v>2019</v>
      </c>
      <c r="H77" s="93">
        <f t="shared" si="62"/>
        <v>2020</v>
      </c>
      <c r="I77" s="93">
        <f t="shared" si="62"/>
        <v>2021</v>
      </c>
      <c r="J77" s="93">
        <f t="shared" si="62"/>
        <v>2022</v>
      </c>
      <c r="K77" s="93">
        <f t="shared" si="62"/>
        <v>2023</v>
      </c>
      <c r="L77" s="93">
        <f t="shared" si="62"/>
        <v>2024</v>
      </c>
      <c r="M77" s="93">
        <f t="shared" si="62"/>
        <v>2025</v>
      </c>
      <c r="N77" s="93">
        <f t="shared" si="62"/>
        <v>2026</v>
      </c>
      <c r="O77" s="93">
        <f t="shared" si="62"/>
        <v>2027</v>
      </c>
      <c r="P77" s="93">
        <f t="shared" si="62"/>
        <v>2028</v>
      </c>
      <c r="Q77" s="93">
        <f t="shared" si="62"/>
        <v>2029</v>
      </c>
      <c r="R77" s="93">
        <f t="shared" si="62"/>
        <v>2030</v>
      </c>
      <c r="S77" s="93">
        <f t="shared" si="62"/>
        <v>2031</v>
      </c>
      <c r="T77" s="93">
        <f t="shared" si="62"/>
        <v>2032</v>
      </c>
      <c r="U77" s="93">
        <f t="shared" si="62"/>
        <v>2033</v>
      </c>
      <c r="V77" s="93">
        <f t="shared" si="62"/>
        <v>2034</v>
      </c>
      <c r="W77" s="93">
        <f t="shared" si="62"/>
        <v>2035</v>
      </c>
      <c r="X77" s="93">
        <f t="shared" si="62"/>
        <v>2036</v>
      </c>
      <c r="Y77" s="93">
        <f t="shared" si="62"/>
        <v>2037</v>
      </c>
      <c r="Z77" s="93">
        <f t="shared" si="62"/>
        <v>2038</v>
      </c>
      <c r="AA77" s="93">
        <f t="shared" si="62"/>
        <v>2039</v>
      </c>
      <c r="AB77" s="93">
        <f t="shared" si="62"/>
        <v>2040</v>
      </c>
      <c r="AC77" s="93">
        <f t="shared" si="62"/>
        <v>2041</v>
      </c>
      <c r="AD77" s="93">
        <f t="shared" si="62"/>
        <v>2042</v>
      </c>
      <c r="AE77" s="93">
        <f t="shared" si="62"/>
        <v>2043</v>
      </c>
      <c r="AF77" s="93">
        <f t="shared" si="62"/>
        <v>2044</v>
      </c>
      <c r="AG77" s="93">
        <f t="shared" si="62"/>
        <v>2045</v>
      </c>
      <c r="AH77" s="93">
        <f t="shared" si="62"/>
        <v>2046</v>
      </c>
      <c r="AI77" s="93">
        <f t="shared" si="62"/>
        <v>2047</v>
      </c>
      <c r="AJ77" s="93">
        <f t="shared" si="62"/>
        <v>2048</v>
      </c>
      <c r="AK77" s="93">
        <f t="shared" si="62"/>
        <v>2049</v>
      </c>
      <c r="AL77" s="93">
        <f t="shared" si="62"/>
        <v>2050</v>
      </c>
      <c r="AM77" s="93">
        <f t="shared" si="62"/>
        <v>2051</v>
      </c>
      <c r="AN77" s="93">
        <f t="shared" si="62"/>
        <v>2052</v>
      </c>
      <c r="AO77" s="93">
        <f t="shared" si="62"/>
        <v>2053</v>
      </c>
      <c r="AP77" s="93">
        <f t="shared" si="62"/>
        <v>2054</v>
      </c>
      <c r="AQ77" s="93">
        <f t="shared" si="62"/>
        <v>2055</v>
      </c>
      <c r="AR77" s="93">
        <f t="shared" si="62"/>
        <v>2056</v>
      </c>
    </row>
    <row r="78" spans="1:44">
      <c r="B78" s="54" t="s">
        <v>12</v>
      </c>
      <c r="D78" s="222">
        <f>SUM(F78:AR78)</f>
        <v>1.5128860077103714</v>
      </c>
      <c r="E78" s="222"/>
      <c r="F78" s="222">
        <f>Safety!F$79/1000000</f>
        <v>0</v>
      </c>
      <c r="G78" s="222">
        <f>Safety!G$79/1000000</f>
        <v>0</v>
      </c>
      <c r="H78" s="222">
        <f>Safety!H$79/1000000</f>
        <v>0</v>
      </c>
      <c r="I78" s="222">
        <f>Safety!I$79/1000000</f>
        <v>0</v>
      </c>
      <c r="J78" s="222">
        <f>Safety!J$79/1000000</f>
        <v>0</v>
      </c>
      <c r="K78" s="222">
        <f>Safety!K$79/1000000</f>
        <v>0</v>
      </c>
      <c r="L78" s="222">
        <f>Safety!L$79/1000000</f>
        <v>0</v>
      </c>
      <c r="M78" s="222">
        <f>Safety!M$79/1000000</f>
        <v>0</v>
      </c>
      <c r="N78" s="222">
        <f>Safety!N$79/1000000</f>
        <v>0</v>
      </c>
      <c r="O78" s="222">
        <f>Safety!O$79/1000000</f>
        <v>0.11778250660442009</v>
      </c>
      <c r="P78" s="222">
        <f>Safety!P$79/1000000</f>
        <v>0.11190948848300558</v>
      </c>
      <c r="Q78" s="222">
        <f>Safety!Q$79/1000000</f>
        <v>0.10632931810994391</v>
      </c>
      <c r="R78" s="222">
        <f>Safety!R$79/1000000</f>
        <v>0.10102739314586846</v>
      </c>
      <c r="S78" s="222">
        <f>Safety!S$79/1000000</f>
        <v>9.5989839371455166E-2</v>
      </c>
      <c r="T78" s="222">
        <f>Safety!T$79/1000000</f>
        <v>9.1203474380993424E-2</v>
      </c>
      <c r="U78" s="222">
        <f>Safety!U$79/1000000</f>
        <v>8.6655773086313725E-2</v>
      </c>
      <c r="V78" s="222">
        <f>Safety!V$79/1000000</f>
        <v>8.2334834940801294E-2</v>
      </c>
      <c r="W78" s="222">
        <f>Safety!W$79/1000000</f>
        <v>7.8229352797726817E-2</v>
      </c>
      <c r="X78" s="222">
        <f>Safety!X$79/1000000</f>
        <v>7.4328583321401687E-2</v>
      </c>
      <c r="Y78" s="222">
        <f>Safety!Y$79/1000000</f>
        <v>7.0622318873729634E-2</v>
      </c>
      <c r="Z78" s="222">
        <f>Safety!Z$79/1000000</f>
        <v>6.7100860802585427E-2</v>
      </c>
      <c r="AA78" s="222">
        <f>Safety!AA$79/1000000</f>
        <v>6.3754994062122344E-2</v>
      </c>
      <c r="AB78" s="222">
        <f>Safety!AB$79/1000000</f>
        <v>6.0575963098593276E-2</v>
      </c>
      <c r="AC78" s="222">
        <f>Safety!AC$79/1000000</f>
        <v>5.7555448938582804E-2</v>
      </c>
      <c r="AD78" s="222">
        <f>Safety!AD$79/1000000</f>
        <v>5.4685547419694953E-2</v>
      </c>
      <c r="AE78" s="222">
        <f>Safety!AE$79/1000000</f>
        <v>5.1958748506728929E-2</v>
      </c>
      <c r="AF78" s="222">
        <f>Safety!AF$79/1000000</f>
        <v>4.9367916639218079E-2</v>
      </c>
      <c r="AG78" s="222">
        <f>Safety!AG$79/1000000</f>
        <v>4.6906272058903728E-2</v>
      </c>
      <c r="AH78" s="222">
        <f>Safety!AH$79/1000000</f>
        <v>4.4567373068282269E-2</v>
      </c>
      <c r="AI78" s="222">
        <f>Safety!AI$79/1000000</f>
        <v>0</v>
      </c>
      <c r="AJ78" s="222">
        <f>Safety!AJ$79/1000000</f>
        <v>0</v>
      </c>
      <c r="AK78" s="222">
        <f>Safety!AK$79/1000000</f>
        <v>0</v>
      </c>
      <c r="AL78" s="222">
        <f>Safety!AL$79/1000000</f>
        <v>0</v>
      </c>
      <c r="AM78" s="222">
        <f>Safety!AM$79/1000000</f>
        <v>0</v>
      </c>
      <c r="AN78" s="222">
        <f>Safety!AN$79/1000000</f>
        <v>0</v>
      </c>
      <c r="AO78" s="222">
        <f>Safety!AO$79/1000000</f>
        <v>0</v>
      </c>
      <c r="AP78" s="222">
        <f>Safety!AP$79/1000000</f>
        <v>0</v>
      </c>
      <c r="AQ78" s="222">
        <f>Safety!AQ$79/1000000</f>
        <v>0</v>
      </c>
      <c r="AR78" s="222">
        <f>Safety!AR$79/1000000</f>
        <v>0</v>
      </c>
    </row>
    <row r="79" spans="1:44">
      <c r="B79" s="49" t="s">
        <v>13</v>
      </c>
      <c r="D79" s="222">
        <f>SUM(F79:AR79)</f>
        <v>17.616038034647705</v>
      </c>
      <c r="E79" s="222"/>
      <c r="F79" s="222">
        <f>'Time Savings'!F$107/1000000</f>
        <v>0</v>
      </c>
      <c r="G79" s="222">
        <f>'Time Savings'!G$107/1000000</f>
        <v>0</v>
      </c>
      <c r="H79" s="222">
        <f>'Time Savings'!H$107/1000000</f>
        <v>0</v>
      </c>
      <c r="I79" s="222">
        <f>'Time Savings'!I$107/1000000</f>
        <v>0</v>
      </c>
      <c r="J79" s="222">
        <f>'Time Savings'!J$107/1000000</f>
        <v>0</v>
      </c>
      <c r="K79" s="222">
        <f>'Time Savings'!K$107/1000000</f>
        <v>0</v>
      </c>
      <c r="L79" s="222">
        <f>'Time Savings'!L$107/1000000</f>
        <v>0</v>
      </c>
      <c r="M79" s="222">
        <f>'Time Savings'!M$107/1000000</f>
        <v>0</v>
      </c>
      <c r="N79" s="222">
        <f>'Time Savings'!N$107/1000000</f>
        <v>0</v>
      </c>
      <c r="O79" s="222">
        <f>'Time Savings'!O$107/1000000</f>
        <v>1.123325595297449</v>
      </c>
      <c r="P79" s="222">
        <f>'Time Savings'!P$107/1000000</f>
        <v>1.1047611135384321</v>
      </c>
      <c r="Q79" s="222">
        <f>'Time Savings'!Q$107/1000000</f>
        <v>1.0838347044012837</v>
      </c>
      <c r="R79" s="222">
        <f>'Time Savings'!R$107/1000000</f>
        <v>1.0609338476486139</v>
      </c>
      <c r="S79" s="222">
        <f>'Time Savings'!S$107/1000000</f>
        <v>1.0364054944686425</v>
      </c>
      <c r="T79" s="222">
        <f>'Time Savings'!T$107/1000000</f>
        <v>1.0105597082402225</v>
      </c>
      <c r="U79" s="222">
        <f>'Time Savings'!U$107/1000000</f>
        <v>0.98367300261470936</v>
      </c>
      <c r="V79" s="222">
        <f>'Time Savings'!V$107/1000000</f>
        <v>0.95599140092272317</v>
      </c>
      <c r="W79" s="222">
        <f>'Time Savings'!W$107/1000000</f>
        <v>0.92773323906886529</v>
      </c>
      <c r="X79" s="222">
        <f>'Time Savings'!X$107/1000000</f>
        <v>0.89909173237105033</v>
      </c>
      <c r="Y79" s="222">
        <f>'Time Savings'!Y$107/1000000</f>
        <v>0.87023732522310115</v>
      </c>
      <c r="Z79" s="222">
        <f>'Time Savings'!Z$107/1000000</f>
        <v>0.84131984100009582</v>
      </c>
      <c r="AA79" s="222">
        <f>'Time Savings'!AA$107/1000000</f>
        <v>0.81247044827689807</v>
      </c>
      <c r="AB79" s="222">
        <f>'Time Savings'!AB$107/1000000</f>
        <v>0.78380345818313801</v>
      </c>
      <c r="AC79" s="222">
        <f>'Time Savings'!AC$107/1000000</f>
        <v>0.75541796656514193</v>
      </c>
      <c r="AD79" s="222">
        <f>'Time Savings'!AD$107/1000000</f>
        <v>0.7273993535598714</v>
      </c>
      <c r="AE79" s="222">
        <f>'Time Savings'!AE$107/1000000</f>
        <v>0.69982065220137701</v>
      </c>
      <c r="AF79" s="222">
        <f>'Time Savings'!AF$107/1000000</f>
        <v>0.6727437967705352</v>
      </c>
      <c r="AG79" s="222">
        <f>'Time Savings'!AG$107/1000000</f>
        <v>0.64622076075840318</v>
      </c>
      <c r="AH79" s="222">
        <f>'Time Savings'!AH$107/1000000</f>
        <v>0.62029459353715088</v>
      </c>
      <c r="AI79" s="222">
        <f>'Time Savings'!AI$107/1000000</f>
        <v>0</v>
      </c>
      <c r="AJ79" s="222">
        <f>'Time Savings'!AJ$107/1000000</f>
        <v>0</v>
      </c>
      <c r="AK79" s="222">
        <f>'Time Savings'!AK$107/1000000</f>
        <v>0</v>
      </c>
      <c r="AL79" s="222">
        <f>'Time Savings'!AL$107/1000000</f>
        <v>0</v>
      </c>
      <c r="AM79" s="222">
        <f>'Time Savings'!AM$107/1000000</f>
        <v>0</v>
      </c>
      <c r="AN79" s="222">
        <f>'Time Savings'!AN$107/1000000</f>
        <v>0</v>
      </c>
      <c r="AO79" s="222">
        <f>'Time Savings'!AO$107/1000000</f>
        <v>0</v>
      </c>
      <c r="AP79" s="222">
        <f>'Time Savings'!AP$107/1000000</f>
        <v>0</v>
      </c>
      <c r="AQ79" s="222">
        <f>'Time Savings'!AQ$107/1000000</f>
        <v>0</v>
      </c>
      <c r="AR79" s="222">
        <f>'Time Savings'!AR$107/1000000</f>
        <v>0</v>
      </c>
    </row>
    <row r="80" spans="1:44">
      <c r="B80" s="49" t="s">
        <v>14</v>
      </c>
      <c r="D80" s="222">
        <f t="shared" ref="D80:D85" si="63">SUM(F80:AR80)</f>
        <v>0.70383083269149971</v>
      </c>
      <c r="E80" s="222"/>
      <c r="F80" s="222">
        <f>'Veh Op Costs'!F$78/1000000</f>
        <v>0</v>
      </c>
      <c r="G80" s="222">
        <f>'Veh Op Costs'!G$78/1000000</f>
        <v>0</v>
      </c>
      <c r="H80" s="222">
        <f>'Veh Op Costs'!H$78/1000000</f>
        <v>0</v>
      </c>
      <c r="I80" s="222">
        <f>'Veh Op Costs'!I$78/1000000</f>
        <v>0</v>
      </c>
      <c r="J80" s="222">
        <f>'Veh Op Costs'!J$78/1000000</f>
        <v>0</v>
      </c>
      <c r="K80" s="222">
        <f>'Veh Op Costs'!K$78/1000000</f>
        <v>0</v>
      </c>
      <c r="L80" s="222">
        <f>'Veh Op Costs'!L$78/1000000</f>
        <v>0</v>
      </c>
      <c r="M80" s="222">
        <f>'Veh Op Costs'!M$78/1000000</f>
        <v>0</v>
      </c>
      <c r="N80" s="222">
        <f>'Veh Op Costs'!N$78/1000000</f>
        <v>0</v>
      </c>
      <c r="O80" s="222">
        <f>'Veh Op Costs'!O$78/1000000</f>
        <v>3.2563722171053841E-2</v>
      </c>
      <c r="P80" s="222">
        <f>'Veh Op Costs'!P$78/1000000</f>
        <v>3.3806713859051214E-2</v>
      </c>
      <c r="Q80" s="222">
        <f>'Veh Op Costs'!Q$78/1000000</f>
        <v>3.469412387700057E-2</v>
      </c>
      <c r="R80" s="222">
        <f>'Veh Op Costs'!R$78/1000000</f>
        <v>3.5923284150603828E-2</v>
      </c>
      <c r="S80" s="222">
        <f>'Veh Op Costs'!S$78/1000000</f>
        <v>3.7280333595850687E-2</v>
      </c>
      <c r="T80" s="222">
        <f>'Veh Op Costs'!T$78/1000000</f>
        <v>3.7682765297057989E-2</v>
      </c>
      <c r="U80" s="222">
        <f>'Veh Op Costs'!U$78/1000000</f>
        <v>3.7848982394434606E-2</v>
      </c>
      <c r="V80" s="222">
        <f>'Veh Op Costs'!V$78/1000000</f>
        <v>3.7854959788109023E-2</v>
      </c>
      <c r="W80" s="222">
        <f>'Veh Op Costs'!W$78/1000000</f>
        <v>3.7583213717746103E-2</v>
      </c>
      <c r="X80" s="222">
        <f>'Veh Op Costs'!X$78/1000000</f>
        <v>3.7327380857059111E-2</v>
      </c>
      <c r="Y80" s="222">
        <f>'Veh Op Costs'!Y$78/1000000</f>
        <v>3.6946679561153745E-2</v>
      </c>
      <c r="Z80" s="222">
        <f>'Veh Op Costs'!Z$78/1000000</f>
        <v>3.6636932562394149E-2</v>
      </c>
      <c r="AA80" s="222">
        <f>'Veh Op Costs'!AA$78/1000000</f>
        <v>3.5882542871978611E-2</v>
      </c>
      <c r="AB80" s="222">
        <f>'Veh Op Costs'!AB$78/1000000</f>
        <v>3.5324712689749196E-2</v>
      </c>
      <c r="AC80" s="222">
        <f>'Veh Op Costs'!AC$78/1000000</f>
        <v>3.4657589910951497E-2</v>
      </c>
      <c r="AD80" s="222">
        <f>'Veh Op Costs'!AD$78/1000000</f>
        <v>3.3783594074385005E-2</v>
      </c>
      <c r="AE80" s="222">
        <f>'Veh Op Costs'!AE$78/1000000</f>
        <v>3.315949962021749E-2</v>
      </c>
      <c r="AF80" s="222">
        <f>'Veh Op Costs'!AF$78/1000000</f>
        <v>3.2485783365235492E-2</v>
      </c>
      <c r="AG80" s="222">
        <f>'Veh Op Costs'!AG$78/1000000</f>
        <v>3.1580052529414621E-2</v>
      </c>
      <c r="AH80" s="222">
        <f>'Veh Op Costs'!AH$78/1000000</f>
        <v>3.0807965798052842E-2</v>
      </c>
      <c r="AI80" s="222">
        <f>'Veh Op Costs'!AI$78/1000000</f>
        <v>0</v>
      </c>
      <c r="AJ80" s="222">
        <f>'Veh Op Costs'!AJ$78/1000000</f>
        <v>0</v>
      </c>
      <c r="AK80" s="222">
        <f>'Veh Op Costs'!AK$78/1000000</f>
        <v>0</v>
      </c>
      <c r="AL80" s="222">
        <f>'Veh Op Costs'!AL$78/1000000</f>
        <v>0</v>
      </c>
      <c r="AM80" s="222">
        <f>'Veh Op Costs'!AM$78/1000000</f>
        <v>0</v>
      </c>
      <c r="AN80" s="222">
        <f>'Veh Op Costs'!AN$78/1000000</f>
        <v>0</v>
      </c>
      <c r="AO80" s="222">
        <f>'Veh Op Costs'!AO$78/1000000</f>
        <v>0</v>
      </c>
      <c r="AP80" s="222">
        <f>'Veh Op Costs'!AP$78/1000000</f>
        <v>0</v>
      </c>
      <c r="AQ80" s="222">
        <f>'Veh Op Costs'!AQ$78/1000000</f>
        <v>0</v>
      </c>
      <c r="AR80" s="222">
        <f>'Veh Op Costs'!AR$78/1000000</f>
        <v>0</v>
      </c>
    </row>
    <row r="81" spans="2:44">
      <c r="B81" s="49" t="s">
        <v>34</v>
      </c>
      <c r="D81" s="222">
        <f t="shared" si="63"/>
        <v>7.0413768541386687E-2</v>
      </c>
      <c r="E81" s="222"/>
      <c r="F81" s="222">
        <f>Emissions!F$100/1000000</f>
        <v>0</v>
      </c>
      <c r="G81" s="222">
        <f>Emissions!G$100/1000000</f>
        <v>0</v>
      </c>
      <c r="H81" s="222">
        <f>Emissions!H$100/1000000</f>
        <v>0</v>
      </c>
      <c r="I81" s="222">
        <f>Emissions!I$100/1000000</f>
        <v>0</v>
      </c>
      <c r="J81" s="222">
        <f>Emissions!J$100/1000000</f>
        <v>0</v>
      </c>
      <c r="K81" s="222">
        <f>Emissions!K$100/1000000</f>
        <v>0</v>
      </c>
      <c r="L81" s="222">
        <f>Emissions!L$100/1000000</f>
        <v>0</v>
      </c>
      <c r="M81" s="222">
        <f>Emissions!M$100/1000000</f>
        <v>0</v>
      </c>
      <c r="N81" s="222">
        <f>Emissions!N$100/1000000</f>
        <v>0</v>
      </c>
      <c r="O81" s="222">
        <f>Emissions!O$100/1000000</f>
        <v>3.3565022695024997E-3</v>
      </c>
      <c r="P81" s="222">
        <f>Emissions!P$100/1000000</f>
        <v>3.5140968032272876E-3</v>
      </c>
      <c r="Q81" s="222">
        <f>Emissions!Q$100/1000000</f>
        <v>3.6665881125394944E-3</v>
      </c>
      <c r="R81" s="222">
        <f>Emissions!R$100/1000000</f>
        <v>3.7790050909784403E-3</v>
      </c>
      <c r="S81" s="222">
        <f>Emissions!S$100/1000000</f>
        <v>3.8103222053750899E-3</v>
      </c>
      <c r="T81" s="222">
        <f>Emissions!T$100/1000000</f>
        <v>3.8223036829810458E-3</v>
      </c>
      <c r="U81" s="222">
        <f>Emissions!U$100/1000000</f>
        <v>3.8173441411354452E-3</v>
      </c>
      <c r="V81" s="222">
        <f>Emissions!V$100/1000000</f>
        <v>3.7976071869042578E-3</v>
      </c>
      <c r="W81" s="222">
        <f>Emissions!W$100/1000000</f>
        <v>3.7650454134527962E-3</v>
      </c>
      <c r="X81" s="222">
        <f>Emissions!X$100/1000000</f>
        <v>3.7231527429472957E-3</v>
      </c>
      <c r="Y81" s="222">
        <f>Emissions!Y$100/1000000</f>
        <v>3.670083796714707E-3</v>
      </c>
      <c r="Z81" s="222">
        <f>Emissions!Z$100/1000000</f>
        <v>3.6089543155469008E-3</v>
      </c>
      <c r="AA81" s="222">
        <f>Emissions!AA$100/1000000</f>
        <v>3.5410422750295125E-3</v>
      </c>
      <c r="AB81" s="222">
        <f>Emissions!AB$100/1000000</f>
        <v>3.4674925963968147E-3</v>
      </c>
      <c r="AC81" s="222">
        <f>Emissions!AC$100/1000000</f>
        <v>3.3912198015903232E-3</v>
      </c>
      <c r="AD81" s="222">
        <f>Emissions!AD$100/1000000</f>
        <v>3.3093777988830921E-3</v>
      </c>
      <c r="AE81" s="222">
        <f>Emissions!AE$100/1000000</f>
        <v>3.2246463932527124E-3</v>
      </c>
      <c r="AF81" s="222">
        <f>Emissions!AF$100/1000000</f>
        <v>3.1377484315446061E-3</v>
      </c>
      <c r="AG81" s="222">
        <f>Emissions!AG$100/1000000</f>
        <v>3.0493242866998006E-3</v>
      </c>
      <c r="AH81" s="222">
        <f>Emissions!AH$100/1000000</f>
        <v>2.9619111966845686E-3</v>
      </c>
      <c r="AI81" s="222">
        <f>Emissions!AI$100/1000000</f>
        <v>0</v>
      </c>
      <c r="AJ81" s="222">
        <f>Emissions!AJ$100/1000000</f>
        <v>0</v>
      </c>
      <c r="AK81" s="222">
        <f>Emissions!AK$100/1000000</f>
        <v>0</v>
      </c>
      <c r="AL81" s="222">
        <f>Emissions!AL$100/1000000</f>
        <v>0</v>
      </c>
      <c r="AM81" s="222">
        <f>Emissions!AM$100/1000000</f>
        <v>0</v>
      </c>
      <c r="AN81" s="222">
        <f>Emissions!AN$100/1000000</f>
        <v>0</v>
      </c>
      <c r="AO81" s="222">
        <f>Emissions!AO$100/1000000</f>
        <v>0</v>
      </c>
      <c r="AP81" s="222">
        <f>Emissions!AP$100/1000000</f>
        <v>0</v>
      </c>
      <c r="AQ81" s="222">
        <f>Emissions!AQ$100/1000000</f>
        <v>0</v>
      </c>
      <c r="AR81" s="222">
        <f>Emissions!AR$100/1000000</f>
        <v>0</v>
      </c>
    </row>
    <row r="82" spans="2:44">
      <c r="B82" s="49" t="s">
        <v>35</v>
      </c>
      <c r="D82" s="222">
        <f t="shared" si="63"/>
        <v>0.81528095944975787</v>
      </c>
      <c r="E82" s="222"/>
      <c r="F82" s="222">
        <f>Pedestrian!F$60/1000000</f>
        <v>0</v>
      </c>
      <c r="G82" s="222">
        <f>Pedestrian!G$60/1000000</f>
        <v>0</v>
      </c>
      <c r="H82" s="222">
        <f>Pedestrian!H$60/1000000</f>
        <v>0</v>
      </c>
      <c r="I82" s="222">
        <f>Pedestrian!I$60/1000000</f>
        <v>0</v>
      </c>
      <c r="J82" s="222">
        <f>Pedestrian!J$60/1000000</f>
        <v>0</v>
      </c>
      <c r="K82" s="222">
        <f>Pedestrian!K$60/1000000</f>
        <v>0</v>
      </c>
      <c r="L82" s="222">
        <f>Pedestrian!L$60/1000000</f>
        <v>0</v>
      </c>
      <c r="M82" s="222">
        <f>Pedestrian!M$60/1000000</f>
        <v>0</v>
      </c>
      <c r="N82" s="222">
        <f>Pedestrian!N$60/1000000</f>
        <v>0</v>
      </c>
      <c r="O82" s="222">
        <f>Pedestrian!O$60/1000000</f>
        <v>6.9113205761068552E-2</v>
      </c>
      <c r="P82" s="222">
        <f>Pedestrian!P$60/1000000</f>
        <v>6.4940528511218315E-2</v>
      </c>
      <c r="Q82" s="222">
        <f>Pedestrian!Q$60/1000000</f>
        <v>6.1019774685259168E-2</v>
      </c>
      <c r="R82" s="222">
        <f>Pedestrian!R$60/1000000</f>
        <v>5.7335734525113785E-2</v>
      </c>
      <c r="S82" s="222">
        <f>Pedestrian!S$60/1000000</f>
        <v>5.3874116554685915E-2</v>
      </c>
      <c r="T82" s="222">
        <f>Pedestrian!T$60/1000000</f>
        <v>5.0621492139018197E-2</v>
      </c>
      <c r="U82" s="222">
        <f>Pedestrian!U$60/1000000</f>
        <v>4.7565243390664862E-2</v>
      </c>
      <c r="V82" s="222">
        <f>Pedestrian!V$60/1000000</f>
        <v>4.4693514221192339E-2</v>
      </c>
      <c r="W82" s="222">
        <f>Pedestrian!W$60/1000000</f>
        <v>4.1995164347922866E-2</v>
      </c>
      <c r="X82" s="222">
        <f>Pedestrian!X$60/1000000</f>
        <v>3.945972607749889E-2</v>
      </c>
      <c r="Y82" s="222">
        <f>Pedestrian!Y$60/1000000</f>
        <v>3.7077363698619782E-2</v>
      </c>
      <c r="Z82" s="222">
        <f>Pedestrian!Z$60/1000000</f>
        <v>3.483883532642261E-2</v>
      </c>
      <c r="AA82" s="222">
        <f>Pedestrian!AA$60/1000000</f>
        <v>3.2735457050490718E-2</v>
      </c>
      <c r="AB82" s="222">
        <f>Pedestrian!AB$60/1000000</f>
        <v>3.0759069247409312E-2</v>
      </c>
      <c r="AC82" s="222">
        <f>Pedestrian!AC$60/1000000</f>
        <v>2.890200492718455E-2</v>
      </c>
      <c r="AD82" s="222">
        <f>Pedestrian!AD$60/1000000</f>
        <v>2.7157059990732833E-2</v>
      </c>
      <c r="AE82" s="222">
        <f>Pedestrian!AE$60/1000000</f>
        <v>2.5517465283060044E-2</v>
      </c>
      <c r="AF82" s="222">
        <f>Pedestrian!AF$60/1000000</f>
        <v>2.3976860333716973E-2</v>
      </c>
      <c r="AG82" s="222">
        <f>Pedestrian!AG$60/1000000</f>
        <v>2.2529268682662435E-2</v>
      </c>
      <c r="AH82" s="222">
        <f>Pedestrian!AH$60/1000000</f>
        <v>2.1169074695815669E-2</v>
      </c>
      <c r="AI82" s="222">
        <f>Pedestrian!AI$60/1000000</f>
        <v>0</v>
      </c>
      <c r="AJ82" s="222">
        <f>Pedestrian!AJ$60/1000000</f>
        <v>0</v>
      </c>
      <c r="AK82" s="222">
        <f>Pedestrian!AK$60/1000000</f>
        <v>0</v>
      </c>
      <c r="AL82" s="222">
        <f>Pedestrian!AL$60/1000000</f>
        <v>0</v>
      </c>
      <c r="AM82" s="222">
        <f>Pedestrian!AM$60/1000000</f>
        <v>0</v>
      </c>
      <c r="AN82" s="222">
        <f>Pedestrian!AN$60/1000000</f>
        <v>0</v>
      </c>
      <c r="AO82" s="222">
        <f>Pedestrian!AO$60/1000000</f>
        <v>0</v>
      </c>
      <c r="AP82" s="222">
        <f>Pedestrian!AP$60/1000000</f>
        <v>0</v>
      </c>
      <c r="AQ82" s="222">
        <f>Pedestrian!AQ$60/1000000</f>
        <v>0</v>
      </c>
      <c r="AR82" s="222">
        <f>Pedestrian!AR$60/1000000</f>
        <v>0</v>
      </c>
    </row>
    <row r="83" spans="2:44">
      <c r="B83" s="94" t="s">
        <v>17</v>
      </c>
      <c r="D83" s="222">
        <f t="shared" si="63"/>
        <v>1.1356429256437376E-2</v>
      </c>
      <c r="E83" s="222"/>
      <c r="F83" s="222">
        <f>'Bridge Hits'!F$47/1000000</f>
        <v>0</v>
      </c>
      <c r="G83" s="222">
        <f>'Bridge Hits'!G$47/1000000</f>
        <v>0</v>
      </c>
      <c r="H83" s="222">
        <f>'Bridge Hits'!H$47/1000000</f>
        <v>0</v>
      </c>
      <c r="I83" s="222">
        <f>'Bridge Hits'!I$47/1000000</f>
        <v>0</v>
      </c>
      <c r="J83" s="222">
        <f>'Bridge Hits'!J$47/1000000</f>
        <v>0</v>
      </c>
      <c r="K83" s="222">
        <f>'Bridge Hits'!K$47/1000000</f>
        <v>0</v>
      </c>
      <c r="L83" s="222">
        <f>'Bridge Hits'!L$47/1000000</f>
        <v>0</v>
      </c>
      <c r="M83" s="222">
        <f>'Bridge Hits'!M$47/1000000</f>
        <v>0</v>
      </c>
      <c r="N83" s="222">
        <f>'Bridge Hits'!N$47/1000000</f>
        <v>0</v>
      </c>
      <c r="O83" s="222">
        <f>'Bridge Hits'!O$47/1000000</f>
        <v>1.0018379285153549E-3</v>
      </c>
      <c r="P83" s="222">
        <f>'Bridge Hits'!P$47/1000000</f>
        <v>9.3629712945360257E-4</v>
      </c>
      <c r="Q83" s="222">
        <f>'Bridge Hits'!Q$47/1000000</f>
        <v>8.7504404621832025E-4</v>
      </c>
      <c r="R83" s="222">
        <f>'Bridge Hits'!R$47/1000000</f>
        <v>8.1779817403581333E-4</v>
      </c>
      <c r="S83" s="222">
        <f>'Bridge Hits'!S$47/1000000</f>
        <v>7.6429735891197505E-4</v>
      </c>
      <c r="T83" s="222">
        <f>'Bridge Hits'!T$47/1000000</f>
        <v>7.142965971139953E-4</v>
      </c>
      <c r="U83" s="222">
        <f>'Bridge Hits'!U$47/1000000</f>
        <v>6.6756691319064991E-4</v>
      </c>
      <c r="V83" s="222">
        <f>'Bridge Hits'!V$47/1000000</f>
        <v>6.2389431139313074E-4</v>
      </c>
      <c r="W83" s="222">
        <f>'Bridge Hits'!W$47/1000000</f>
        <v>5.8307879569451473E-4</v>
      </c>
      <c r="X83" s="222">
        <f>'Bridge Hits'!X$47/1000000</f>
        <v>5.4493345392010717E-4</v>
      </c>
      <c r="Y83" s="222">
        <f>'Bridge Hits'!Y$47/1000000</f>
        <v>5.0928360179449273E-4</v>
      </c>
      <c r="Z83" s="222">
        <f>'Bridge Hits'!Z$47/1000000</f>
        <v>4.7596598298550724E-4</v>
      </c>
      <c r="AA83" s="222">
        <f>'Bridge Hits'!AA$47/1000000</f>
        <v>4.4482802148178242E-4</v>
      </c>
      <c r="AB83" s="222">
        <f>'Bridge Hits'!AB$47/1000000</f>
        <v>4.1572712288017046E-4</v>
      </c>
      <c r="AC83" s="222">
        <f>'Bridge Hits'!AC$47/1000000</f>
        <v>3.8853002138333694E-4</v>
      </c>
      <c r="AD83" s="222">
        <f>'Bridge Hits'!AD$47/1000000</f>
        <v>3.6311216951713732E-4</v>
      </c>
      <c r="AE83" s="222">
        <f>'Bridge Hits'!AE$47/1000000</f>
        <v>3.3935716777302554E-4</v>
      </c>
      <c r="AF83" s="222">
        <f>'Bridge Hits'!AF$47/1000000</f>
        <v>3.171562315635752E-4</v>
      </c>
      <c r="AG83" s="222">
        <f>'Bridge Hits'!AG$47/1000000</f>
        <v>2.9640769305007029E-4</v>
      </c>
      <c r="AH83" s="222">
        <f>'Bridge Hits'!AH$47/1000000</f>
        <v>2.7701653556081335E-4</v>
      </c>
      <c r="AI83" s="222">
        <f>'Bridge Hits'!AI$47/1000000</f>
        <v>0</v>
      </c>
      <c r="AJ83" s="222">
        <f>'Bridge Hits'!AJ$47/1000000</f>
        <v>0</v>
      </c>
      <c r="AK83" s="222">
        <f>'Bridge Hits'!AK$47/1000000</f>
        <v>0</v>
      </c>
      <c r="AL83" s="222">
        <f>'Bridge Hits'!AL$47/1000000</f>
        <v>0</v>
      </c>
      <c r="AM83" s="222">
        <f>'Bridge Hits'!AM$47/1000000</f>
        <v>0</v>
      </c>
      <c r="AN83" s="222">
        <f>'Bridge Hits'!AN$47/1000000</f>
        <v>0</v>
      </c>
      <c r="AO83" s="222">
        <f>'Bridge Hits'!AO$47/1000000</f>
        <v>0</v>
      </c>
      <c r="AP83" s="222">
        <f>'Bridge Hits'!AP$47/1000000</f>
        <v>0</v>
      </c>
      <c r="AQ83" s="222">
        <f>'Bridge Hits'!AQ$47/1000000</f>
        <v>0</v>
      </c>
      <c r="AR83" s="222">
        <f>'Bridge Hits'!AR$47/1000000</f>
        <v>0</v>
      </c>
    </row>
    <row r="84" spans="2:44">
      <c r="B84" s="94" t="s">
        <v>18</v>
      </c>
      <c r="D84" s="222">
        <f t="shared" si="63"/>
        <v>0.930182893966914</v>
      </c>
      <c r="E84" s="222"/>
      <c r="F84" s="222">
        <f>'Residual Value'!F$56/1000000</f>
        <v>0</v>
      </c>
      <c r="G84" s="222">
        <f>'Residual Value'!G$56/1000000</f>
        <v>0</v>
      </c>
      <c r="H84" s="222">
        <f>'Residual Value'!H$56/1000000</f>
        <v>0</v>
      </c>
      <c r="I84" s="222">
        <f>'Residual Value'!I$56/1000000</f>
        <v>0</v>
      </c>
      <c r="J84" s="222">
        <f>'Residual Value'!J$56/1000000</f>
        <v>0</v>
      </c>
      <c r="K84" s="222">
        <f>'Residual Value'!K$56/1000000</f>
        <v>0</v>
      </c>
      <c r="L84" s="222">
        <f>'Residual Value'!L$56/1000000</f>
        <v>0</v>
      </c>
      <c r="M84" s="222">
        <f>'Residual Value'!M$56/1000000</f>
        <v>0</v>
      </c>
      <c r="N84" s="222">
        <f>'Residual Value'!N$56/1000000</f>
        <v>0</v>
      </c>
      <c r="O84" s="222">
        <f>'Residual Value'!O$56/1000000</f>
        <v>0</v>
      </c>
      <c r="P84" s="222">
        <f>'Residual Value'!P$56/1000000</f>
        <v>0</v>
      </c>
      <c r="Q84" s="222">
        <f>'Residual Value'!Q$56/1000000</f>
        <v>0</v>
      </c>
      <c r="R84" s="222">
        <f>'Residual Value'!R$56/1000000</f>
        <v>0</v>
      </c>
      <c r="S84" s="222">
        <f>'Residual Value'!S$56/1000000</f>
        <v>0</v>
      </c>
      <c r="T84" s="222">
        <f>'Residual Value'!T$56/1000000</f>
        <v>0</v>
      </c>
      <c r="U84" s="222">
        <f>'Residual Value'!U$56/1000000</f>
        <v>0</v>
      </c>
      <c r="V84" s="222">
        <f>'Residual Value'!V$56/1000000</f>
        <v>0</v>
      </c>
      <c r="W84" s="222">
        <f>'Residual Value'!W$56/1000000</f>
        <v>0</v>
      </c>
      <c r="X84" s="222">
        <f>'Residual Value'!X$56/1000000</f>
        <v>0</v>
      </c>
      <c r="Y84" s="222">
        <f>'Residual Value'!Y$56/1000000</f>
        <v>0</v>
      </c>
      <c r="Z84" s="222">
        <f>'Residual Value'!Z$56/1000000</f>
        <v>0</v>
      </c>
      <c r="AA84" s="222">
        <f>'Residual Value'!AA$56/1000000</f>
        <v>0</v>
      </c>
      <c r="AB84" s="222">
        <f>'Residual Value'!AB$56/1000000</f>
        <v>0</v>
      </c>
      <c r="AC84" s="222">
        <f>'Residual Value'!AC$56/1000000</f>
        <v>0</v>
      </c>
      <c r="AD84" s="222">
        <f>'Residual Value'!AD$56/1000000</f>
        <v>0</v>
      </c>
      <c r="AE84" s="222">
        <f>'Residual Value'!AE$56/1000000</f>
        <v>0</v>
      </c>
      <c r="AF84" s="222">
        <f>'Residual Value'!AF$56/1000000</f>
        <v>0</v>
      </c>
      <c r="AG84" s="222">
        <f>'Residual Value'!AG$56/1000000</f>
        <v>0</v>
      </c>
      <c r="AH84" s="222">
        <f>'Residual Value'!AH$56/1000000</f>
        <v>0.930182893966914</v>
      </c>
      <c r="AI84" s="222">
        <f>'Residual Value'!AI$56/1000000</f>
        <v>0</v>
      </c>
      <c r="AJ84" s="222">
        <f>'Residual Value'!AJ$56/1000000</f>
        <v>0</v>
      </c>
      <c r="AK84" s="222">
        <f>'Residual Value'!AK$56/1000000</f>
        <v>0</v>
      </c>
      <c r="AL84" s="222">
        <f>'Residual Value'!AL$56/1000000</f>
        <v>0</v>
      </c>
      <c r="AM84" s="222">
        <f>'Residual Value'!AM$56/1000000</f>
        <v>0</v>
      </c>
      <c r="AN84" s="222">
        <f>'Residual Value'!AN$56/1000000</f>
        <v>0</v>
      </c>
      <c r="AO84" s="222">
        <f>'Residual Value'!AO$56/1000000</f>
        <v>0</v>
      </c>
      <c r="AP84" s="222">
        <f>'Residual Value'!AP$56/1000000</f>
        <v>0</v>
      </c>
      <c r="AQ84" s="222">
        <f>'Residual Value'!AQ$56/1000000</f>
        <v>0</v>
      </c>
      <c r="AR84" s="222">
        <f>'Residual Value'!AR$56/1000000</f>
        <v>0</v>
      </c>
    </row>
    <row r="85" spans="2:44" ht="15.75" thickBot="1">
      <c r="B85" s="204" t="s">
        <v>25</v>
      </c>
      <c r="C85" s="206"/>
      <c r="D85" s="223">
        <f t="shared" si="63"/>
        <v>21.659988926264074</v>
      </c>
      <c r="E85" s="223"/>
      <c r="F85" s="223">
        <f t="shared" ref="F85:AR85" si="64">SUM(F78:F84)</f>
        <v>0</v>
      </c>
      <c r="G85" s="223">
        <f t="shared" si="64"/>
        <v>0</v>
      </c>
      <c r="H85" s="223">
        <f t="shared" si="64"/>
        <v>0</v>
      </c>
      <c r="I85" s="223">
        <f t="shared" si="64"/>
        <v>0</v>
      </c>
      <c r="J85" s="223">
        <f t="shared" si="64"/>
        <v>0</v>
      </c>
      <c r="K85" s="223">
        <f t="shared" si="64"/>
        <v>0</v>
      </c>
      <c r="L85" s="223">
        <f t="shared" si="64"/>
        <v>0</v>
      </c>
      <c r="M85" s="223">
        <f t="shared" si="64"/>
        <v>0</v>
      </c>
      <c r="N85" s="223">
        <f t="shared" si="64"/>
        <v>0</v>
      </c>
      <c r="O85" s="223">
        <f t="shared" si="64"/>
        <v>1.3471433700320092</v>
      </c>
      <c r="P85" s="223">
        <f t="shared" si="64"/>
        <v>1.319868238324388</v>
      </c>
      <c r="Q85" s="223">
        <f t="shared" si="64"/>
        <v>1.2904195532322453</v>
      </c>
      <c r="R85" s="223">
        <f t="shared" si="64"/>
        <v>1.2598170627352143</v>
      </c>
      <c r="S85" s="223">
        <f t="shared" si="64"/>
        <v>1.2281244035549213</v>
      </c>
      <c r="T85" s="223">
        <f t="shared" si="64"/>
        <v>1.1946040403373872</v>
      </c>
      <c r="U85" s="223">
        <f t="shared" si="64"/>
        <v>1.1602279125404487</v>
      </c>
      <c r="V85" s="223">
        <f t="shared" si="64"/>
        <v>1.1252962113711233</v>
      </c>
      <c r="W85" s="223">
        <f t="shared" si="64"/>
        <v>1.0898890941414083</v>
      </c>
      <c r="X85" s="223">
        <f t="shared" si="64"/>
        <v>1.0544755088238775</v>
      </c>
      <c r="Y85" s="223">
        <f t="shared" si="64"/>
        <v>1.0190630547551136</v>
      </c>
      <c r="Z85" s="223">
        <f t="shared" si="64"/>
        <v>0.98398138999003049</v>
      </c>
      <c r="AA85" s="223">
        <f t="shared" si="64"/>
        <v>0.94882931255800107</v>
      </c>
      <c r="AB85" s="223">
        <f t="shared" si="64"/>
        <v>0.91434642293816681</v>
      </c>
      <c r="AC85" s="223">
        <f t="shared" si="64"/>
        <v>0.88031276016483428</v>
      </c>
      <c r="AD85" s="223">
        <f t="shared" si="64"/>
        <v>0.84669804501308443</v>
      </c>
      <c r="AE85" s="223">
        <f t="shared" si="64"/>
        <v>0.81402036917240916</v>
      </c>
      <c r="AF85" s="223">
        <f t="shared" si="64"/>
        <v>0.78202926177181376</v>
      </c>
      <c r="AG85" s="223">
        <f t="shared" si="64"/>
        <v>0.7505820860091339</v>
      </c>
      <c r="AH85" s="223">
        <f t="shared" si="64"/>
        <v>1.650260828798461</v>
      </c>
      <c r="AI85" s="223">
        <f t="shared" si="64"/>
        <v>0</v>
      </c>
      <c r="AJ85" s="223">
        <f t="shared" si="64"/>
        <v>0</v>
      </c>
      <c r="AK85" s="223">
        <f t="shared" si="64"/>
        <v>0</v>
      </c>
      <c r="AL85" s="223">
        <f t="shared" si="64"/>
        <v>0</v>
      </c>
      <c r="AM85" s="223">
        <f t="shared" si="64"/>
        <v>0</v>
      </c>
      <c r="AN85" s="223">
        <f t="shared" si="64"/>
        <v>0</v>
      </c>
      <c r="AO85" s="223">
        <f t="shared" si="64"/>
        <v>0</v>
      </c>
      <c r="AP85" s="223">
        <f t="shared" si="64"/>
        <v>0</v>
      </c>
      <c r="AQ85" s="223">
        <f t="shared" si="64"/>
        <v>0</v>
      </c>
      <c r="AR85" s="224">
        <f t="shared" si="64"/>
        <v>0</v>
      </c>
    </row>
    <row r="86" spans="2:44" ht="15" thickBot="1">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row>
    <row r="87" spans="2:44" ht="18" thickBot="1">
      <c r="B87" s="51" t="s">
        <v>36</v>
      </c>
      <c r="C87" s="52"/>
      <c r="D87" s="52" t="s">
        <v>33</v>
      </c>
      <c r="E87" s="52"/>
      <c r="F87" s="93">
        <f t="shared" ref="F87:AR87" si="65">F77</f>
        <v>2018</v>
      </c>
      <c r="G87" s="93">
        <f t="shared" si="65"/>
        <v>2019</v>
      </c>
      <c r="H87" s="93">
        <f t="shared" si="65"/>
        <v>2020</v>
      </c>
      <c r="I87" s="93">
        <f t="shared" si="65"/>
        <v>2021</v>
      </c>
      <c r="J87" s="93">
        <f t="shared" si="65"/>
        <v>2022</v>
      </c>
      <c r="K87" s="93">
        <f t="shared" si="65"/>
        <v>2023</v>
      </c>
      <c r="L87" s="93">
        <f t="shared" si="65"/>
        <v>2024</v>
      </c>
      <c r="M87" s="93">
        <f t="shared" si="65"/>
        <v>2025</v>
      </c>
      <c r="N87" s="93">
        <f t="shared" si="65"/>
        <v>2026</v>
      </c>
      <c r="O87" s="93">
        <f t="shared" si="65"/>
        <v>2027</v>
      </c>
      <c r="P87" s="93">
        <f t="shared" si="65"/>
        <v>2028</v>
      </c>
      <c r="Q87" s="93">
        <f t="shared" si="65"/>
        <v>2029</v>
      </c>
      <c r="R87" s="93">
        <f t="shared" si="65"/>
        <v>2030</v>
      </c>
      <c r="S87" s="93">
        <f t="shared" si="65"/>
        <v>2031</v>
      </c>
      <c r="T87" s="93">
        <f t="shared" si="65"/>
        <v>2032</v>
      </c>
      <c r="U87" s="93">
        <f t="shared" si="65"/>
        <v>2033</v>
      </c>
      <c r="V87" s="93">
        <f t="shared" si="65"/>
        <v>2034</v>
      </c>
      <c r="W87" s="93">
        <f t="shared" si="65"/>
        <v>2035</v>
      </c>
      <c r="X87" s="93">
        <f t="shared" si="65"/>
        <v>2036</v>
      </c>
      <c r="Y87" s="93">
        <f t="shared" si="65"/>
        <v>2037</v>
      </c>
      <c r="Z87" s="93">
        <f t="shared" si="65"/>
        <v>2038</v>
      </c>
      <c r="AA87" s="93">
        <f t="shared" si="65"/>
        <v>2039</v>
      </c>
      <c r="AB87" s="93">
        <f t="shared" si="65"/>
        <v>2040</v>
      </c>
      <c r="AC87" s="93">
        <f t="shared" si="65"/>
        <v>2041</v>
      </c>
      <c r="AD87" s="93">
        <f t="shared" si="65"/>
        <v>2042</v>
      </c>
      <c r="AE87" s="93">
        <f t="shared" si="65"/>
        <v>2043</v>
      </c>
      <c r="AF87" s="93">
        <f t="shared" si="65"/>
        <v>2044</v>
      </c>
      <c r="AG87" s="93">
        <f t="shared" si="65"/>
        <v>2045</v>
      </c>
      <c r="AH87" s="93">
        <f t="shared" si="65"/>
        <v>2046</v>
      </c>
      <c r="AI87" s="93">
        <f t="shared" si="65"/>
        <v>2047</v>
      </c>
      <c r="AJ87" s="93">
        <f t="shared" si="65"/>
        <v>2048</v>
      </c>
      <c r="AK87" s="93">
        <f t="shared" si="65"/>
        <v>2049</v>
      </c>
      <c r="AL87" s="93">
        <f t="shared" si="65"/>
        <v>2050</v>
      </c>
      <c r="AM87" s="93">
        <f t="shared" si="65"/>
        <v>2051</v>
      </c>
      <c r="AN87" s="93">
        <f t="shared" si="65"/>
        <v>2052</v>
      </c>
      <c r="AO87" s="93">
        <f t="shared" si="65"/>
        <v>2053</v>
      </c>
      <c r="AP87" s="93">
        <f t="shared" si="65"/>
        <v>2054</v>
      </c>
      <c r="AQ87" s="93">
        <f t="shared" si="65"/>
        <v>2055</v>
      </c>
      <c r="AR87" s="205">
        <f t="shared" si="65"/>
        <v>2056</v>
      </c>
    </row>
    <row r="88" spans="2:44">
      <c r="B88" s="54" t="s">
        <v>22</v>
      </c>
      <c r="D88" s="222">
        <f>SUM(F88:AR88)</f>
        <v>-15.835803044955435</v>
      </c>
      <c r="E88" s="222"/>
      <c r="F88" s="222">
        <f>-'Project Costs'!F$68/1000000</f>
        <v>0</v>
      </c>
      <c r="G88" s="222">
        <f>-'Project Costs'!G$68/1000000</f>
        <v>0</v>
      </c>
      <c r="H88" s="222">
        <f>-'Project Costs'!H$68/1000000</f>
        <v>0</v>
      </c>
      <c r="I88" s="222">
        <f>-'Project Costs'!I$68/1000000</f>
        <v>0</v>
      </c>
      <c r="J88" s="222">
        <f>-'Project Costs'!J$68/1000000</f>
        <v>0</v>
      </c>
      <c r="K88" s="222">
        <f>-'Project Costs'!K$68/1000000</f>
        <v>0</v>
      </c>
      <c r="L88" s="222">
        <f>-'Project Costs'!L$68/1000000</f>
        <v>-1.1857211549159614</v>
      </c>
      <c r="M88" s="222">
        <f>-'Project Costs'!M$68/1000000</f>
        <v>-5.106054375984816</v>
      </c>
      <c r="N88" s="222">
        <f>-'Project Costs'!N$68/1000000</f>
        <v>-9.5440275140546582</v>
      </c>
      <c r="O88" s="222">
        <f>-'Project Costs'!O$68/1000000</f>
        <v>0</v>
      </c>
      <c r="P88" s="222">
        <f>-'Project Costs'!P$68/1000000</f>
        <v>0</v>
      </c>
      <c r="Q88" s="222">
        <f>-'Project Costs'!Q$68/1000000</f>
        <v>0</v>
      </c>
      <c r="R88" s="222">
        <f>-'Project Costs'!R$68/1000000</f>
        <v>0</v>
      </c>
      <c r="S88" s="222">
        <f>-'Project Costs'!S$68/1000000</f>
        <v>0</v>
      </c>
      <c r="T88" s="222">
        <f>-'Project Costs'!T$68/1000000</f>
        <v>0</v>
      </c>
      <c r="U88" s="222">
        <f>-'Project Costs'!U$68/1000000</f>
        <v>0</v>
      </c>
      <c r="V88" s="222">
        <f>-'Project Costs'!V$68/1000000</f>
        <v>0</v>
      </c>
      <c r="W88" s="222">
        <f>-'Project Costs'!W$68/1000000</f>
        <v>0</v>
      </c>
      <c r="X88" s="222">
        <f>-'Project Costs'!X$68/1000000</f>
        <v>0</v>
      </c>
      <c r="Y88" s="222">
        <f>-'Project Costs'!Y$68/1000000</f>
        <v>0</v>
      </c>
      <c r="Z88" s="222">
        <f>-'Project Costs'!Z$68/1000000</f>
        <v>0</v>
      </c>
      <c r="AA88" s="222">
        <f>-'Project Costs'!AA$68/1000000</f>
        <v>0</v>
      </c>
      <c r="AB88" s="222">
        <f>-'Project Costs'!AB$68/1000000</f>
        <v>0</v>
      </c>
      <c r="AC88" s="222">
        <f>-'Project Costs'!AC$68/1000000</f>
        <v>0</v>
      </c>
      <c r="AD88" s="222">
        <f>-'Project Costs'!AD$68/1000000</f>
        <v>0</v>
      </c>
      <c r="AE88" s="222">
        <f>-'Project Costs'!AE$68/1000000</f>
        <v>0</v>
      </c>
      <c r="AF88" s="222">
        <f>-'Project Costs'!AF$68/1000000</f>
        <v>0</v>
      </c>
      <c r="AG88" s="222">
        <f>-'Project Costs'!AG$68/1000000</f>
        <v>0</v>
      </c>
      <c r="AH88" s="222">
        <f>-'Project Costs'!AH$68/1000000</f>
        <v>0</v>
      </c>
      <c r="AI88" s="222">
        <f>-'Project Costs'!AI$68/1000000</f>
        <v>0</v>
      </c>
      <c r="AJ88" s="222">
        <f>-'Project Costs'!AJ$68/1000000</f>
        <v>0</v>
      </c>
      <c r="AK88" s="222">
        <f>-'Project Costs'!AK$68/1000000</f>
        <v>0</v>
      </c>
      <c r="AL88" s="222">
        <f>-'Project Costs'!AL$68/1000000</f>
        <v>0</v>
      </c>
      <c r="AM88" s="222">
        <f>-'Project Costs'!AM$68/1000000</f>
        <v>0</v>
      </c>
      <c r="AN88" s="222">
        <f>-'Project Costs'!AN$68/1000000</f>
        <v>0</v>
      </c>
      <c r="AO88" s="222">
        <f>-'Project Costs'!AO$68/1000000</f>
        <v>0</v>
      </c>
      <c r="AP88" s="222">
        <f>-'Project Costs'!AP$68/1000000</f>
        <v>0</v>
      </c>
      <c r="AQ88" s="222">
        <f>-'Project Costs'!AQ$68/1000000</f>
        <v>0</v>
      </c>
      <c r="AR88" s="222">
        <f>-'Project Costs'!AR$68/1000000</f>
        <v>0</v>
      </c>
    </row>
    <row r="89" spans="2:44" ht="15" thickBot="1">
      <c r="B89" s="210" t="s">
        <v>23</v>
      </c>
      <c r="D89" s="222">
        <f>SUM(F89:AR89)</f>
        <v>1.2168847841468935</v>
      </c>
      <c r="E89" s="222"/>
      <c r="F89" s="222">
        <f>-'Project Costs'!F$73/1000000</f>
        <v>0</v>
      </c>
      <c r="G89" s="222">
        <f>-'Project Costs'!G$73/1000000</f>
        <v>0</v>
      </c>
      <c r="H89" s="222">
        <f>-'Project Costs'!H$73/1000000</f>
        <v>0</v>
      </c>
      <c r="I89" s="222">
        <f>-'Project Costs'!I$73/1000000</f>
        <v>0</v>
      </c>
      <c r="J89" s="222">
        <f>-'Project Costs'!J$73/1000000</f>
        <v>0</v>
      </c>
      <c r="K89" s="222">
        <f>-'Project Costs'!K$73/1000000</f>
        <v>0</v>
      </c>
      <c r="L89" s="222">
        <f>-'Project Costs'!L$73/1000000</f>
        <v>0</v>
      </c>
      <c r="M89" s="222">
        <f>-'Project Costs'!M$73/1000000</f>
        <v>0</v>
      </c>
      <c r="N89" s="222">
        <f>-'Project Costs'!N$73/1000000</f>
        <v>0</v>
      </c>
      <c r="O89" s="222">
        <f>-'Project Costs'!O$73/1000000</f>
        <v>-0.2103450945537377</v>
      </c>
      <c r="P89" s="222">
        <f>-'Project Costs'!P$73/1000000</f>
        <v>0</v>
      </c>
      <c r="Q89" s="222">
        <f>-'Project Costs'!Q$73/1000000</f>
        <v>0</v>
      </c>
      <c r="R89" s="222">
        <f>-'Project Costs'!R$73/1000000</f>
        <v>0.79082073601993719</v>
      </c>
      <c r="S89" s="222">
        <f>-'Project Costs'!S$73/1000000</f>
        <v>0</v>
      </c>
      <c r="T89" s="222">
        <f>-'Project Costs'!T$73/1000000</f>
        <v>0</v>
      </c>
      <c r="U89" s="222">
        <f>-'Project Costs'!U$73/1000000</f>
        <v>0</v>
      </c>
      <c r="V89" s="222">
        <f>-'Project Costs'!V$73/1000000</f>
        <v>0</v>
      </c>
      <c r="W89" s="222">
        <f>-'Project Costs'!W$73/1000000</f>
        <v>0.34977931465962642</v>
      </c>
      <c r="X89" s="222">
        <f>-'Project Costs'!X$73/1000000</f>
        <v>0</v>
      </c>
      <c r="Y89" s="222">
        <f>-'Project Costs'!Y$73/1000000</f>
        <v>0</v>
      </c>
      <c r="Z89" s="222">
        <f>-'Project Costs'!Z$73/1000000</f>
        <v>0</v>
      </c>
      <c r="AA89" s="222">
        <f>-'Project Costs'!AA$73/1000000</f>
        <v>0</v>
      </c>
      <c r="AB89" s="222">
        <f>-'Project Costs'!AB$73/1000000</f>
        <v>0</v>
      </c>
      <c r="AC89" s="222">
        <f>-'Project Costs'!AC$73/1000000</f>
        <v>0</v>
      </c>
      <c r="AD89" s="222">
        <f>-'Project Costs'!AD$73/1000000</f>
        <v>0</v>
      </c>
      <c r="AE89" s="222">
        <f>-'Project Costs'!AE$73/1000000</f>
        <v>0</v>
      </c>
      <c r="AF89" s="222">
        <f>-'Project Costs'!AF$73/1000000</f>
        <v>0</v>
      </c>
      <c r="AG89" s="222">
        <f>-'Project Costs'!AG$73/1000000</f>
        <v>0.28662982802106757</v>
      </c>
      <c r="AH89" s="222">
        <f>-'Project Costs'!AH$73/1000000</f>
        <v>0</v>
      </c>
      <c r="AI89" s="222">
        <f>-'Project Costs'!AI$73/1000000</f>
        <v>0</v>
      </c>
      <c r="AJ89" s="222">
        <f>-'Project Costs'!AJ$73/1000000</f>
        <v>0</v>
      </c>
      <c r="AK89" s="222">
        <f>-'Project Costs'!AK$73/1000000</f>
        <v>0</v>
      </c>
      <c r="AL89" s="222">
        <f>-'Project Costs'!AL$73/1000000</f>
        <v>0</v>
      </c>
      <c r="AM89" s="222">
        <f>-'Project Costs'!AM$73/1000000</f>
        <v>0</v>
      </c>
      <c r="AN89" s="222">
        <f>-'Project Costs'!AN$73/1000000</f>
        <v>0</v>
      </c>
      <c r="AO89" s="222">
        <f>-'Project Costs'!AO$73/1000000</f>
        <v>0</v>
      </c>
      <c r="AP89" s="222">
        <f>-'Project Costs'!AP$73/1000000</f>
        <v>0</v>
      </c>
      <c r="AQ89" s="222">
        <f>-'Project Costs'!AQ$73/1000000</f>
        <v>0</v>
      </c>
      <c r="AR89" s="222">
        <f>-'Project Costs'!AR$73/1000000</f>
        <v>0</v>
      </c>
    </row>
    <row r="90" spans="2:44" ht="15.75" thickBot="1">
      <c r="B90" s="211" t="s">
        <v>26</v>
      </c>
      <c r="C90" s="209"/>
      <c r="D90" s="225">
        <f t="shared" ref="D90" si="66">SUM(F90:AR90)</f>
        <v>-14.618918260808544</v>
      </c>
      <c r="E90" s="225"/>
      <c r="F90" s="225">
        <f>SUM(F88:F89)</f>
        <v>0</v>
      </c>
      <c r="G90" s="225">
        <f t="shared" ref="G90" si="67">SUM(G88:G89)</f>
        <v>0</v>
      </c>
      <c r="H90" s="225">
        <f t="shared" ref="H90" si="68">SUM(H88:H89)</f>
        <v>0</v>
      </c>
      <c r="I90" s="225">
        <f t="shared" ref="I90" si="69">SUM(I88:I89)</f>
        <v>0</v>
      </c>
      <c r="J90" s="225">
        <f t="shared" ref="J90" si="70">SUM(J88:J89)</f>
        <v>0</v>
      </c>
      <c r="K90" s="225">
        <f t="shared" ref="K90" si="71">SUM(K88:K89)</f>
        <v>0</v>
      </c>
      <c r="L90" s="225">
        <f t="shared" ref="L90" si="72">SUM(L88:L89)</f>
        <v>-1.1857211549159614</v>
      </c>
      <c r="M90" s="225">
        <f t="shared" ref="M90" si="73">SUM(M88:M89)</f>
        <v>-5.106054375984816</v>
      </c>
      <c r="N90" s="225">
        <f t="shared" ref="N90" si="74">SUM(N88:N89)</f>
        <v>-9.5440275140546582</v>
      </c>
      <c r="O90" s="225">
        <f t="shared" ref="O90" si="75">SUM(O88:O89)</f>
        <v>-0.2103450945537377</v>
      </c>
      <c r="P90" s="225">
        <f t="shared" ref="P90" si="76">SUM(P88:P89)</f>
        <v>0</v>
      </c>
      <c r="Q90" s="225">
        <f t="shared" ref="Q90" si="77">SUM(Q88:Q89)</f>
        <v>0</v>
      </c>
      <c r="R90" s="225">
        <f t="shared" ref="R90" si="78">SUM(R88:R89)</f>
        <v>0.79082073601993719</v>
      </c>
      <c r="S90" s="225">
        <f t="shared" ref="S90" si="79">SUM(S88:S89)</f>
        <v>0</v>
      </c>
      <c r="T90" s="225">
        <f t="shared" ref="T90" si="80">SUM(T88:T89)</f>
        <v>0</v>
      </c>
      <c r="U90" s="225">
        <f t="shared" ref="U90" si="81">SUM(U88:U89)</f>
        <v>0</v>
      </c>
      <c r="V90" s="225">
        <f t="shared" ref="V90" si="82">SUM(V88:V89)</f>
        <v>0</v>
      </c>
      <c r="W90" s="225">
        <f t="shared" ref="W90" si="83">SUM(W88:W89)</f>
        <v>0.34977931465962642</v>
      </c>
      <c r="X90" s="225">
        <f t="shared" ref="X90" si="84">SUM(X88:X89)</f>
        <v>0</v>
      </c>
      <c r="Y90" s="225">
        <f t="shared" ref="Y90" si="85">SUM(Y88:Y89)</f>
        <v>0</v>
      </c>
      <c r="Z90" s="225">
        <f t="shared" ref="Z90" si="86">SUM(Z88:Z89)</f>
        <v>0</v>
      </c>
      <c r="AA90" s="225">
        <f t="shared" ref="AA90" si="87">SUM(AA88:AA89)</f>
        <v>0</v>
      </c>
      <c r="AB90" s="225">
        <f t="shared" ref="AB90" si="88">SUM(AB88:AB89)</f>
        <v>0</v>
      </c>
      <c r="AC90" s="225">
        <f t="shared" ref="AC90" si="89">SUM(AC88:AC89)</f>
        <v>0</v>
      </c>
      <c r="AD90" s="225">
        <f t="shared" ref="AD90" si="90">SUM(AD88:AD89)</f>
        <v>0</v>
      </c>
      <c r="AE90" s="225">
        <f t="shared" ref="AE90" si="91">SUM(AE88:AE89)</f>
        <v>0</v>
      </c>
      <c r="AF90" s="225">
        <f t="shared" ref="AF90" si="92">SUM(AF88:AF89)</f>
        <v>0</v>
      </c>
      <c r="AG90" s="225">
        <f t="shared" ref="AG90" si="93">SUM(AG88:AG89)</f>
        <v>0.28662982802106757</v>
      </c>
      <c r="AH90" s="225">
        <f t="shared" ref="AH90" si="94">SUM(AH88:AH89)</f>
        <v>0</v>
      </c>
      <c r="AI90" s="225">
        <f t="shared" ref="AI90" si="95">SUM(AI88:AI89)</f>
        <v>0</v>
      </c>
      <c r="AJ90" s="225">
        <f t="shared" ref="AJ90" si="96">SUM(AJ88:AJ89)</f>
        <v>0</v>
      </c>
      <c r="AK90" s="225">
        <f t="shared" ref="AK90" si="97">SUM(AK88:AK89)</f>
        <v>0</v>
      </c>
      <c r="AL90" s="225">
        <f t="shared" ref="AL90" si="98">SUM(AL88:AL89)</f>
        <v>0</v>
      </c>
      <c r="AM90" s="225">
        <f t="shared" ref="AM90" si="99">SUM(AM88:AM89)</f>
        <v>0</v>
      </c>
      <c r="AN90" s="225">
        <f t="shared" ref="AN90" si="100">SUM(AN88:AN89)</f>
        <v>0</v>
      </c>
      <c r="AO90" s="225">
        <f t="shared" ref="AO90" si="101">SUM(AO88:AO89)</f>
        <v>0</v>
      </c>
      <c r="AP90" s="225">
        <f t="shared" ref="AP90" si="102">SUM(AP88:AP89)</f>
        <v>0</v>
      </c>
      <c r="AQ90" s="225">
        <f t="shared" ref="AQ90" si="103">SUM(AQ88:AQ89)</f>
        <v>0</v>
      </c>
      <c r="AR90" s="226">
        <f t="shared" ref="AR90" si="104">SUM(AR88:AR89)</f>
        <v>0</v>
      </c>
    </row>
    <row r="91" spans="2:44" ht="15.75" thickBot="1">
      <c r="B91" s="2"/>
      <c r="C91" s="2"/>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row>
    <row r="92" spans="2:44" ht="15.75" thickBot="1">
      <c r="B92" s="208" t="s">
        <v>37</v>
      </c>
      <c r="C92" s="209"/>
      <c r="D92" s="225">
        <f t="shared" ref="D92" si="105">SUM(F92:AR92)</f>
        <v>7.0410706654555293</v>
      </c>
      <c r="E92" s="225"/>
      <c r="F92" s="225">
        <f t="shared" ref="F92:K92" si="106">F85+F90</f>
        <v>0</v>
      </c>
      <c r="G92" s="225">
        <f t="shared" si="106"/>
        <v>0</v>
      </c>
      <c r="H92" s="225">
        <f t="shared" si="106"/>
        <v>0</v>
      </c>
      <c r="I92" s="225">
        <f t="shared" si="106"/>
        <v>0</v>
      </c>
      <c r="J92" s="225">
        <f t="shared" si="106"/>
        <v>0</v>
      </c>
      <c r="K92" s="225">
        <f t="shared" si="106"/>
        <v>0</v>
      </c>
      <c r="L92" s="225">
        <f>L85+L90</f>
        <v>-1.1857211549159614</v>
      </c>
      <c r="M92" s="225">
        <f t="shared" ref="M92:AR92" si="107">M85+M90</f>
        <v>-5.106054375984816</v>
      </c>
      <c r="N92" s="225">
        <f t="shared" si="107"/>
        <v>-9.5440275140546582</v>
      </c>
      <c r="O92" s="225">
        <f t="shared" si="107"/>
        <v>1.1367982754782715</v>
      </c>
      <c r="P92" s="225">
        <f t="shared" si="107"/>
        <v>1.319868238324388</v>
      </c>
      <c r="Q92" s="225">
        <f t="shared" si="107"/>
        <v>1.2904195532322453</v>
      </c>
      <c r="R92" s="225">
        <f t="shared" si="107"/>
        <v>2.0506377987551514</v>
      </c>
      <c r="S92" s="225">
        <f t="shared" si="107"/>
        <v>1.2281244035549213</v>
      </c>
      <c r="T92" s="225">
        <f t="shared" si="107"/>
        <v>1.1946040403373872</v>
      </c>
      <c r="U92" s="225">
        <f t="shared" si="107"/>
        <v>1.1602279125404487</v>
      </c>
      <c r="V92" s="225">
        <f t="shared" si="107"/>
        <v>1.1252962113711233</v>
      </c>
      <c r="W92" s="225">
        <f t="shared" si="107"/>
        <v>1.4396684088010347</v>
      </c>
      <c r="X92" s="225">
        <f t="shared" si="107"/>
        <v>1.0544755088238775</v>
      </c>
      <c r="Y92" s="225">
        <f t="shared" si="107"/>
        <v>1.0190630547551136</v>
      </c>
      <c r="Z92" s="225">
        <f t="shared" si="107"/>
        <v>0.98398138999003049</v>
      </c>
      <c r="AA92" s="225">
        <f t="shared" si="107"/>
        <v>0.94882931255800107</v>
      </c>
      <c r="AB92" s="225">
        <f t="shared" si="107"/>
        <v>0.91434642293816681</v>
      </c>
      <c r="AC92" s="225">
        <f t="shared" si="107"/>
        <v>0.88031276016483428</v>
      </c>
      <c r="AD92" s="225">
        <f t="shared" si="107"/>
        <v>0.84669804501308443</v>
      </c>
      <c r="AE92" s="225">
        <f t="shared" si="107"/>
        <v>0.81402036917240916</v>
      </c>
      <c r="AF92" s="225">
        <f t="shared" si="107"/>
        <v>0.78202926177181376</v>
      </c>
      <c r="AG92" s="225">
        <f t="shared" si="107"/>
        <v>1.0372119140302014</v>
      </c>
      <c r="AH92" s="225">
        <f t="shared" si="107"/>
        <v>1.650260828798461</v>
      </c>
      <c r="AI92" s="225">
        <f t="shared" si="107"/>
        <v>0</v>
      </c>
      <c r="AJ92" s="225">
        <f t="shared" si="107"/>
        <v>0</v>
      </c>
      <c r="AK92" s="225">
        <f t="shared" si="107"/>
        <v>0</v>
      </c>
      <c r="AL92" s="225">
        <f t="shared" si="107"/>
        <v>0</v>
      </c>
      <c r="AM92" s="225">
        <f t="shared" si="107"/>
        <v>0</v>
      </c>
      <c r="AN92" s="225">
        <f t="shared" si="107"/>
        <v>0</v>
      </c>
      <c r="AO92" s="225">
        <f t="shared" si="107"/>
        <v>0</v>
      </c>
      <c r="AP92" s="225">
        <f t="shared" si="107"/>
        <v>0</v>
      </c>
      <c r="AQ92" s="225">
        <f t="shared" si="107"/>
        <v>0</v>
      </c>
      <c r="AR92" s="225">
        <f t="shared" si="107"/>
        <v>0</v>
      </c>
    </row>
  </sheetData>
  <mergeCells count="1">
    <mergeCell ref="B9:D9"/>
  </mergeCells>
  <conditionalFormatting sqref="C8">
    <cfRule type="cellIs" dxfId="15" priority="1" operator="equal">
      <formula>"YES"</formula>
    </cfRule>
  </conditionalFormatting>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B83CC-ADBA-43EC-99E9-7C887FC483DF}">
  <sheetPr>
    <tabColor theme="9"/>
  </sheetPr>
  <dimension ref="A1:AS48"/>
  <sheetViews>
    <sheetView workbookViewId="0">
      <pane xSplit="4" ySplit="11" topLeftCell="I12" activePane="bottomRight" state="frozen"/>
      <selection pane="bottomRight" activeCell="A2" sqref="A2"/>
      <selection pane="bottomLeft" activeCell="A12" sqref="A12"/>
      <selection pane="topRight" activeCell="E1" sqref="E1"/>
    </sheetView>
  </sheetViews>
  <sheetFormatPr defaultColWidth="0" defaultRowHeight="14.25"/>
  <cols>
    <col min="1" max="1" width="10.42578125" style="1" customWidth="1"/>
    <col min="2" max="2" width="32.5703125" style="1" bestFit="1" customWidth="1"/>
    <col min="3" max="3" width="22.28515625" style="1" bestFit="1" customWidth="1"/>
    <col min="4" max="4" width="15.140625" style="1" bestFit="1" customWidth="1"/>
    <col min="5" max="5" width="1.5703125" style="1" customWidth="1"/>
    <col min="6" max="44" width="14.42578125" style="1" customWidth="1"/>
    <col min="45" max="45" width="9.140625" style="1" customWidth="1"/>
    <col min="46" max="16384" width="9.140625" style="1" hidden="1"/>
  </cols>
  <sheetData>
    <row r="1" spans="1:44" ht="19.5">
      <c r="A1" s="7" t="str">
        <f>Summary!$A$1</f>
        <v>Multimodal Improvements to Safely Connect Tulsa at US-75 and 81st Street Interchange</v>
      </c>
    </row>
    <row r="2" spans="1:44" ht="19.5">
      <c r="A2" s="7" t="s">
        <v>322</v>
      </c>
      <c r="C2" s="12"/>
    </row>
    <row r="3" spans="1:44">
      <c r="A3" s="55">
        <f ca="1">Summary!A3</f>
        <v>44984</v>
      </c>
      <c r="C3" s="12"/>
    </row>
    <row r="4" spans="1:44">
      <c r="A4" s="56" t="str">
        <f>Summary!A4</f>
        <v>All $ values 2021, unless otherwise noted</v>
      </c>
      <c r="C4" s="12"/>
    </row>
    <row r="5" spans="1:44">
      <c r="B5" s="70"/>
      <c r="C5" s="12"/>
    </row>
    <row r="6" spans="1:44">
      <c r="C6" s="1" t="s">
        <v>43</v>
      </c>
      <c r="D6" s="1" t="s">
        <v>44</v>
      </c>
    </row>
    <row r="7" spans="1:44" s="9" customFormat="1">
      <c r="A7" s="9" t="s">
        <v>204</v>
      </c>
      <c r="C7" s="293" t="s">
        <v>204</v>
      </c>
      <c r="F7" s="9">
        <f>Inputs!$E$12</f>
        <v>2018</v>
      </c>
      <c r="G7" s="9">
        <f>F7+1</f>
        <v>2019</v>
      </c>
      <c r="H7" s="9">
        <f t="shared" ref="H7:W8" si="0">G7+1</f>
        <v>2020</v>
      </c>
      <c r="I7" s="9">
        <f t="shared" si="0"/>
        <v>2021</v>
      </c>
      <c r="J7" s="9">
        <f t="shared" si="0"/>
        <v>2022</v>
      </c>
      <c r="K7" s="9">
        <f t="shared" si="0"/>
        <v>2023</v>
      </c>
      <c r="L7" s="9">
        <f t="shared" si="0"/>
        <v>2024</v>
      </c>
      <c r="M7" s="9">
        <f t="shared" si="0"/>
        <v>2025</v>
      </c>
      <c r="N7" s="9">
        <f t="shared" si="0"/>
        <v>2026</v>
      </c>
      <c r="O7" s="9">
        <f t="shared" si="0"/>
        <v>2027</v>
      </c>
      <c r="P7" s="9">
        <f t="shared" si="0"/>
        <v>2028</v>
      </c>
      <c r="Q7" s="9">
        <f t="shared" si="0"/>
        <v>2029</v>
      </c>
      <c r="R7" s="9">
        <f t="shared" si="0"/>
        <v>2030</v>
      </c>
      <c r="S7" s="9">
        <f t="shared" si="0"/>
        <v>2031</v>
      </c>
      <c r="T7" s="9">
        <f t="shared" si="0"/>
        <v>2032</v>
      </c>
      <c r="U7" s="9">
        <f t="shared" si="0"/>
        <v>2033</v>
      </c>
      <c r="V7" s="9">
        <f t="shared" si="0"/>
        <v>2034</v>
      </c>
      <c r="W7" s="9">
        <f t="shared" si="0"/>
        <v>2035</v>
      </c>
      <c r="X7" s="9">
        <f t="shared" ref="X7:AM8" si="1">W7+1</f>
        <v>2036</v>
      </c>
      <c r="Y7" s="9">
        <f t="shared" si="1"/>
        <v>2037</v>
      </c>
      <c r="Z7" s="9">
        <f t="shared" si="1"/>
        <v>2038</v>
      </c>
      <c r="AA7" s="9">
        <f t="shared" si="1"/>
        <v>2039</v>
      </c>
      <c r="AB7" s="9">
        <f t="shared" si="1"/>
        <v>2040</v>
      </c>
      <c r="AC7" s="9">
        <f t="shared" si="1"/>
        <v>2041</v>
      </c>
      <c r="AD7" s="9">
        <f t="shared" si="1"/>
        <v>2042</v>
      </c>
      <c r="AE7" s="9">
        <f t="shared" si="1"/>
        <v>2043</v>
      </c>
      <c r="AF7" s="9">
        <f t="shared" si="1"/>
        <v>2044</v>
      </c>
      <c r="AG7" s="9">
        <f t="shared" si="1"/>
        <v>2045</v>
      </c>
      <c r="AH7" s="9">
        <f t="shared" si="1"/>
        <v>2046</v>
      </c>
      <c r="AI7" s="9">
        <f t="shared" si="1"/>
        <v>2047</v>
      </c>
      <c r="AJ7" s="9">
        <f t="shared" si="1"/>
        <v>2048</v>
      </c>
      <c r="AK7" s="9">
        <f t="shared" si="1"/>
        <v>2049</v>
      </c>
      <c r="AL7" s="9">
        <f t="shared" si="1"/>
        <v>2050</v>
      </c>
      <c r="AM7" s="9">
        <f t="shared" si="1"/>
        <v>2051</v>
      </c>
      <c r="AN7" s="9">
        <f t="shared" ref="AN7:AR8" si="2">AM7+1</f>
        <v>2052</v>
      </c>
      <c r="AO7" s="9">
        <f t="shared" si="2"/>
        <v>2053</v>
      </c>
      <c r="AP7" s="9">
        <f t="shared" si="2"/>
        <v>2054</v>
      </c>
      <c r="AQ7" s="9">
        <f t="shared" si="2"/>
        <v>2055</v>
      </c>
      <c r="AR7" s="9">
        <f t="shared" si="2"/>
        <v>2056</v>
      </c>
    </row>
    <row r="8" spans="1:44">
      <c r="B8" s="1" t="s">
        <v>205</v>
      </c>
      <c r="C8" s="22" t="s">
        <v>49</v>
      </c>
      <c r="F8" s="1">
        <f>D8+1</f>
        <v>1</v>
      </c>
      <c r="G8" s="1">
        <f t="shared" ref="G8" si="3">F8+1</f>
        <v>2</v>
      </c>
      <c r="H8" s="1">
        <f t="shared" si="0"/>
        <v>3</v>
      </c>
      <c r="I8" s="1">
        <f t="shared" si="0"/>
        <v>4</v>
      </c>
      <c r="J8" s="1">
        <f t="shared" si="0"/>
        <v>5</v>
      </c>
      <c r="K8" s="1">
        <f t="shared" si="0"/>
        <v>6</v>
      </c>
      <c r="L8" s="1">
        <f t="shared" si="0"/>
        <v>7</v>
      </c>
      <c r="M8" s="1">
        <f t="shared" si="0"/>
        <v>8</v>
      </c>
      <c r="N8" s="1">
        <f t="shared" si="0"/>
        <v>9</v>
      </c>
      <c r="O8" s="1">
        <f t="shared" si="0"/>
        <v>10</v>
      </c>
      <c r="P8" s="1">
        <f t="shared" si="0"/>
        <v>11</v>
      </c>
      <c r="Q8" s="1">
        <f t="shared" si="0"/>
        <v>12</v>
      </c>
      <c r="R8" s="1">
        <f t="shared" si="0"/>
        <v>13</v>
      </c>
      <c r="S8" s="1">
        <f t="shared" si="0"/>
        <v>14</v>
      </c>
      <c r="T8" s="1">
        <f t="shared" si="0"/>
        <v>15</v>
      </c>
      <c r="U8" s="1">
        <f t="shared" si="0"/>
        <v>16</v>
      </c>
      <c r="V8" s="1">
        <f t="shared" si="0"/>
        <v>17</v>
      </c>
      <c r="W8" s="1">
        <f t="shared" si="0"/>
        <v>18</v>
      </c>
      <c r="X8" s="1">
        <f t="shared" si="1"/>
        <v>19</v>
      </c>
      <c r="Y8" s="1">
        <f t="shared" si="1"/>
        <v>20</v>
      </c>
      <c r="Z8" s="1">
        <f t="shared" si="1"/>
        <v>21</v>
      </c>
      <c r="AA8" s="1">
        <f t="shared" si="1"/>
        <v>22</v>
      </c>
      <c r="AB8" s="1">
        <f t="shared" si="1"/>
        <v>23</v>
      </c>
      <c r="AC8" s="1">
        <f t="shared" si="1"/>
        <v>24</v>
      </c>
      <c r="AD8" s="1">
        <f t="shared" si="1"/>
        <v>25</v>
      </c>
      <c r="AE8" s="1">
        <f t="shared" si="1"/>
        <v>26</v>
      </c>
      <c r="AF8" s="1">
        <f t="shared" si="1"/>
        <v>27</v>
      </c>
      <c r="AG8" s="1">
        <f t="shared" si="1"/>
        <v>28</v>
      </c>
      <c r="AH8" s="1">
        <f t="shared" si="1"/>
        <v>29</v>
      </c>
      <c r="AI8" s="1">
        <f t="shared" si="1"/>
        <v>30</v>
      </c>
      <c r="AJ8" s="1">
        <f t="shared" si="1"/>
        <v>31</v>
      </c>
      <c r="AK8" s="1">
        <f t="shared" si="1"/>
        <v>32</v>
      </c>
      <c r="AL8" s="1">
        <f t="shared" si="1"/>
        <v>33</v>
      </c>
      <c r="AM8" s="1">
        <f t="shared" si="1"/>
        <v>34</v>
      </c>
      <c r="AN8" s="1">
        <f t="shared" si="2"/>
        <v>35</v>
      </c>
      <c r="AO8" s="1">
        <f t="shared" si="2"/>
        <v>36</v>
      </c>
      <c r="AP8" s="1">
        <f t="shared" si="2"/>
        <v>37</v>
      </c>
      <c r="AQ8" s="1">
        <f t="shared" si="2"/>
        <v>38</v>
      </c>
      <c r="AR8" s="1">
        <f t="shared" si="2"/>
        <v>39</v>
      </c>
    </row>
    <row r="9" spans="1:44">
      <c r="B9" s="1" t="s">
        <v>206</v>
      </c>
      <c r="C9" s="22" t="s">
        <v>207</v>
      </c>
      <c r="F9" s="1">
        <f>IF(F7=Inputs!$E$13,1,0)</f>
        <v>0</v>
      </c>
      <c r="G9" s="1">
        <f>IF(G7=Inputs!$E$13,1,0)</f>
        <v>0</v>
      </c>
      <c r="H9" s="1">
        <f>IF(H7=Inputs!$E$13,1,0)</f>
        <v>0</v>
      </c>
      <c r="I9" s="1">
        <f>IF(I7=Inputs!$E$13,1,0)</f>
        <v>1</v>
      </c>
      <c r="J9" s="1">
        <f>IF(J7=Inputs!$E$13,1,0)</f>
        <v>0</v>
      </c>
      <c r="K9" s="1">
        <f>IF(K7=Inputs!$E$13,1,0)</f>
        <v>0</v>
      </c>
      <c r="L9" s="1">
        <f>IF(L7=Inputs!$E$13,1,0)</f>
        <v>0</v>
      </c>
      <c r="M9" s="1">
        <f>IF(M7=Inputs!$E$13,1,0)</f>
        <v>0</v>
      </c>
      <c r="N9" s="1">
        <f>IF(N7=Inputs!$E$13,1,0)</f>
        <v>0</v>
      </c>
      <c r="O9" s="1">
        <f>IF(O7=Inputs!$E$13,1,0)</f>
        <v>0</v>
      </c>
      <c r="P9" s="1">
        <f>IF(P7=Inputs!$E$13,1,0)</f>
        <v>0</v>
      </c>
      <c r="Q9" s="1">
        <f>IF(Q7=Inputs!$E$13,1,0)</f>
        <v>0</v>
      </c>
      <c r="R9" s="1">
        <f>IF(R7=Inputs!$E$13,1,0)</f>
        <v>0</v>
      </c>
      <c r="S9" s="1">
        <f>IF(S7=Inputs!$E$13,1,0)</f>
        <v>0</v>
      </c>
      <c r="T9" s="1">
        <f>IF(T7=Inputs!$E$13,1,0)</f>
        <v>0</v>
      </c>
      <c r="U9" s="1">
        <f>IF(U7=Inputs!$E$13,1,0)</f>
        <v>0</v>
      </c>
      <c r="V9" s="1">
        <f>IF(V7=Inputs!$E$13,1,0)</f>
        <v>0</v>
      </c>
      <c r="W9" s="1">
        <f>IF(W7=Inputs!$E$13,1,0)</f>
        <v>0</v>
      </c>
      <c r="X9" s="1">
        <f>IF(X7=Inputs!$E$13,1,0)</f>
        <v>0</v>
      </c>
      <c r="Y9" s="1">
        <f>IF(Y7=Inputs!$E$13,1,0)</f>
        <v>0</v>
      </c>
      <c r="Z9" s="1">
        <f>IF(Z7=Inputs!$E$13,1,0)</f>
        <v>0</v>
      </c>
      <c r="AA9" s="1">
        <f>IF(AA7=Inputs!$E$13,1,0)</f>
        <v>0</v>
      </c>
      <c r="AB9" s="1">
        <f>IF(AB7=Inputs!$E$13,1,0)</f>
        <v>0</v>
      </c>
      <c r="AC9" s="1">
        <f>IF(AC7=Inputs!$E$13,1,0)</f>
        <v>0</v>
      </c>
      <c r="AD9" s="1">
        <f>IF(AD7=Inputs!$E$13,1,0)</f>
        <v>0</v>
      </c>
      <c r="AE9" s="1">
        <f>IF(AE7=Inputs!$E$13,1,0)</f>
        <v>0</v>
      </c>
      <c r="AF9" s="1">
        <f>IF(AF7=Inputs!$E$13,1,0)</f>
        <v>0</v>
      </c>
      <c r="AG9" s="1">
        <f>IF(AG7=Inputs!$E$13,1,0)</f>
        <v>0</v>
      </c>
      <c r="AH9" s="1">
        <f>IF(AH7=Inputs!$E$13,1,0)</f>
        <v>0</v>
      </c>
      <c r="AI9" s="1">
        <f>IF(AI7=Inputs!$E$13,1,0)</f>
        <v>0</v>
      </c>
      <c r="AJ9" s="1">
        <f>IF(AJ7=Inputs!$E$13,1,0)</f>
        <v>0</v>
      </c>
      <c r="AK9" s="1">
        <f>IF(AK7=Inputs!$E$13,1,0)</f>
        <v>0</v>
      </c>
      <c r="AL9" s="1">
        <f>IF(AL7=Inputs!$E$13,1,0)</f>
        <v>0</v>
      </c>
      <c r="AM9" s="1">
        <f>IF(AM7=Inputs!$E$13,1,0)</f>
        <v>0</v>
      </c>
      <c r="AN9" s="1">
        <f>IF(AN7=Inputs!$E$13,1,0)</f>
        <v>0</v>
      </c>
      <c r="AO9" s="1">
        <f>IF(AO7=Inputs!$E$13,1,0)</f>
        <v>0</v>
      </c>
      <c r="AP9" s="1">
        <f>IF(AP7=Inputs!$E$13,1,0)</f>
        <v>0</v>
      </c>
      <c r="AQ9" s="1">
        <f>IF(AQ7=Inputs!$E$13,1,0)</f>
        <v>0</v>
      </c>
      <c r="AR9" s="1">
        <f>IF(AR7=Inputs!$E$13,1,0)</f>
        <v>0</v>
      </c>
    </row>
    <row r="10" spans="1:44">
      <c r="B10" s="1" t="s">
        <v>208</v>
      </c>
      <c r="C10" s="22" t="s">
        <v>56</v>
      </c>
      <c r="F10" s="1">
        <f t="shared" ref="F10:H10" si="4">F7-$I$7+1</f>
        <v>-2</v>
      </c>
      <c r="G10" s="1">
        <f t="shared" si="4"/>
        <v>-1</v>
      </c>
      <c r="H10" s="1">
        <f t="shared" si="4"/>
        <v>0</v>
      </c>
      <c r="I10" s="1">
        <f>I7-$I$7+1</f>
        <v>1</v>
      </c>
      <c r="J10" s="1">
        <f t="shared" ref="J10:AR10" si="5">J7-$I$7+1</f>
        <v>2</v>
      </c>
      <c r="K10" s="1">
        <f t="shared" si="5"/>
        <v>3</v>
      </c>
      <c r="L10" s="1">
        <f t="shared" si="5"/>
        <v>4</v>
      </c>
      <c r="M10" s="1">
        <f t="shared" si="5"/>
        <v>5</v>
      </c>
      <c r="N10" s="1">
        <f t="shared" si="5"/>
        <v>6</v>
      </c>
      <c r="O10" s="1">
        <f t="shared" si="5"/>
        <v>7</v>
      </c>
      <c r="P10" s="1">
        <f t="shared" si="5"/>
        <v>8</v>
      </c>
      <c r="Q10" s="1">
        <f t="shared" si="5"/>
        <v>9</v>
      </c>
      <c r="R10" s="1">
        <f t="shared" si="5"/>
        <v>10</v>
      </c>
      <c r="S10" s="1">
        <f t="shared" si="5"/>
        <v>11</v>
      </c>
      <c r="T10" s="1">
        <f t="shared" si="5"/>
        <v>12</v>
      </c>
      <c r="U10" s="1">
        <f t="shared" si="5"/>
        <v>13</v>
      </c>
      <c r="V10" s="1">
        <f t="shared" si="5"/>
        <v>14</v>
      </c>
      <c r="W10" s="1">
        <f t="shared" si="5"/>
        <v>15</v>
      </c>
      <c r="X10" s="1">
        <f t="shared" si="5"/>
        <v>16</v>
      </c>
      <c r="Y10" s="1">
        <f t="shared" si="5"/>
        <v>17</v>
      </c>
      <c r="Z10" s="1">
        <f t="shared" si="5"/>
        <v>18</v>
      </c>
      <c r="AA10" s="1">
        <f t="shared" si="5"/>
        <v>19</v>
      </c>
      <c r="AB10" s="1">
        <f t="shared" si="5"/>
        <v>20</v>
      </c>
      <c r="AC10" s="1">
        <f t="shared" si="5"/>
        <v>21</v>
      </c>
      <c r="AD10" s="1">
        <f t="shared" si="5"/>
        <v>22</v>
      </c>
      <c r="AE10" s="1">
        <f t="shared" si="5"/>
        <v>23</v>
      </c>
      <c r="AF10" s="1">
        <f t="shared" si="5"/>
        <v>24</v>
      </c>
      <c r="AG10" s="1">
        <f t="shared" si="5"/>
        <v>25</v>
      </c>
      <c r="AH10" s="1">
        <f t="shared" si="5"/>
        <v>26</v>
      </c>
      <c r="AI10" s="1">
        <f t="shared" si="5"/>
        <v>27</v>
      </c>
      <c r="AJ10" s="1">
        <f t="shared" si="5"/>
        <v>28</v>
      </c>
      <c r="AK10" s="1">
        <f t="shared" si="5"/>
        <v>29</v>
      </c>
      <c r="AL10" s="1">
        <f t="shared" si="5"/>
        <v>30</v>
      </c>
      <c r="AM10" s="1">
        <f t="shared" si="5"/>
        <v>31</v>
      </c>
      <c r="AN10" s="1">
        <f t="shared" si="5"/>
        <v>32</v>
      </c>
      <c r="AO10" s="1">
        <f t="shared" si="5"/>
        <v>33</v>
      </c>
      <c r="AP10" s="1">
        <f t="shared" si="5"/>
        <v>34</v>
      </c>
      <c r="AQ10" s="1">
        <f t="shared" si="5"/>
        <v>35</v>
      </c>
      <c r="AR10" s="1">
        <f t="shared" si="5"/>
        <v>36</v>
      </c>
    </row>
    <row r="11" spans="1:44">
      <c r="B11" s="1" t="s">
        <v>209</v>
      </c>
      <c r="C11" s="22" t="s">
        <v>207</v>
      </c>
      <c r="F11" s="1">
        <f>IF(AND(F7&gt;=Inputs!$E$17,F7&lt;Inputs!$E$21),1,0)</f>
        <v>0</v>
      </c>
      <c r="G11" s="1">
        <f>IF(AND(G7&gt;=Inputs!$E$17,G7&lt;Inputs!$E$21),1,0)</f>
        <v>0</v>
      </c>
      <c r="H11" s="1">
        <f>IF(AND(H7&gt;=Inputs!$E$17,H7&lt;Inputs!$E$21),1,0)</f>
        <v>0</v>
      </c>
      <c r="I11" s="1">
        <f>IF(AND(I7&gt;=Inputs!$E$17,I7&lt;Inputs!$E$21),1,0)</f>
        <v>0</v>
      </c>
      <c r="J11" s="1">
        <f>IF(AND(J7&gt;=Inputs!$E$17,J7&lt;Inputs!$E$21),1,0)</f>
        <v>0</v>
      </c>
      <c r="K11" s="1">
        <f>IF(AND(K7&gt;=Inputs!$E$17,K7&lt;Inputs!$E$21),1,0)</f>
        <v>0</v>
      </c>
      <c r="L11" s="1">
        <f>IF(AND(L7&gt;=Inputs!$E$17,L7&lt;Inputs!$E$21),1,0)</f>
        <v>0</v>
      </c>
      <c r="M11" s="1">
        <f>IF(AND(M7&gt;=Inputs!$E$17,M7&lt;Inputs!$E$21),1,0)</f>
        <v>0</v>
      </c>
      <c r="N11" s="1">
        <f>IF(AND(N7&gt;=Inputs!$E$17,N7&lt;Inputs!$E$21),1,0)</f>
        <v>0</v>
      </c>
      <c r="O11" s="1">
        <f>IF(AND(O7&gt;=Inputs!$E$17,O7&lt;Inputs!$E$21),1,0)</f>
        <v>1</v>
      </c>
      <c r="P11" s="1">
        <f>IF(AND(P7&gt;=Inputs!$E$17,P7&lt;Inputs!$E$21),1,0)</f>
        <v>1</v>
      </c>
      <c r="Q11" s="1">
        <f>IF(AND(Q7&gt;=Inputs!$E$17,Q7&lt;Inputs!$E$21),1,0)</f>
        <v>1</v>
      </c>
      <c r="R11" s="1">
        <f>IF(AND(R7&gt;=Inputs!$E$17,R7&lt;Inputs!$E$21),1,0)</f>
        <v>1</v>
      </c>
      <c r="S11" s="1">
        <f>IF(AND(S7&gt;=Inputs!$E$17,S7&lt;Inputs!$E$21),1,0)</f>
        <v>1</v>
      </c>
      <c r="T11" s="1">
        <f>IF(AND(T7&gt;=Inputs!$E$17,T7&lt;Inputs!$E$21),1,0)</f>
        <v>1</v>
      </c>
      <c r="U11" s="1">
        <f>IF(AND(U7&gt;=Inputs!$E$17,U7&lt;Inputs!$E$21),1,0)</f>
        <v>1</v>
      </c>
      <c r="V11" s="1">
        <f>IF(AND(V7&gt;=Inputs!$E$17,V7&lt;Inputs!$E$21),1,0)</f>
        <v>1</v>
      </c>
      <c r="W11" s="1">
        <f>IF(AND(W7&gt;=Inputs!$E$17,W7&lt;Inputs!$E$21),1,0)</f>
        <v>1</v>
      </c>
      <c r="X11" s="1">
        <f>IF(AND(X7&gt;=Inputs!$E$17,X7&lt;Inputs!$E$21),1,0)</f>
        <v>1</v>
      </c>
      <c r="Y11" s="1">
        <f>IF(AND(Y7&gt;=Inputs!$E$17,Y7&lt;Inputs!$E$21),1,0)</f>
        <v>1</v>
      </c>
      <c r="Z11" s="1">
        <f>IF(AND(Z7&gt;=Inputs!$E$17,Z7&lt;Inputs!$E$21),1,0)</f>
        <v>1</v>
      </c>
      <c r="AA11" s="1">
        <f>IF(AND(AA7&gt;=Inputs!$E$17,AA7&lt;Inputs!$E$21),1,0)</f>
        <v>1</v>
      </c>
      <c r="AB11" s="1">
        <f>IF(AND(AB7&gt;=Inputs!$E$17,AB7&lt;Inputs!$E$21),1,0)</f>
        <v>1</v>
      </c>
      <c r="AC11" s="1">
        <f>IF(AND(AC7&gt;=Inputs!$E$17,AC7&lt;Inputs!$E$21),1,0)</f>
        <v>1</v>
      </c>
      <c r="AD11" s="1">
        <f>IF(AND(AD7&gt;=Inputs!$E$17,AD7&lt;Inputs!$E$21),1,0)</f>
        <v>1</v>
      </c>
      <c r="AE11" s="1">
        <f>IF(AND(AE7&gt;=Inputs!$E$17,AE7&lt;Inputs!$E$21),1,0)</f>
        <v>1</v>
      </c>
      <c r="AF11" s="1">
        <f>IF(AND(AF7&gt;=Inputs!$E$17,AF7&lt;Inputs!$E$21),1,0)</f>
        <v>1</v>
      </c>
      <c r="AG11" s="1">
        <f>IF(AND(AG7&gt;=Inputs!$E$17,AG7&lt;Inputs!$E$21),1,0)</f>
        <v>1</v>
      </c>
      <c r="AH11" s="1">
        <f>IF(AND(AH7&gt;=Inputs!$E$17,AH7&lt;Inputs!$E$21),1,0)</f>
        <v>1</v>
      </c>
      <c r="AI11" s="1">
        <f>IF(AND(AI7&gt;=Inputs!$E$17,AI7&lt;Inputs!$E$21),1,0)</f>
        <v>0</v>
      </c>
      <c r="AJ11" s="1">
        <f>IF(AND(AJ7&gt;=Inputs!$E$17,AJ7&lt;Inputs!$E$21),1,0)</f>
        <v>0</v>
      </c>
      <c r="AK11" s="1">
        <f>IF(AND(AK7&gt;=Inputs!$E$17,AK7&lt;Inputs!$E$21),1,0)</f>
        <v>0</v>
      </c>
      <c r="AL11" s="1">
        <f>IF(AND(AL7&gt;=Inputs!$E$17,AL7&lt;Inputs!$E$21),1,0)</f>
        <v>0</v>
      </c>
      <c r="AM11" s="1">
        <f>IF(AND(AM7&gt;=Inputs!$E$17,AM7&lt;Inputs!$E$21),1,0)</f>
        <v>0</v>
      </c>
      <c r="AN11" s="1">
        <f>IF(AND(AN7&gt;=Inputs!$E$17,AN7&lt;Inputs!$E$21),1,0)</f>
        <v>0</v>
      </c>
      <c r="AO11" s="1">
        <f>IF(AND(AO7&gt;=Inputs!$E$17,AO7&lt;Inputs!$E$21),1,0)</f>
        <v>0</v>
      </c>
      <c r="AP11" s="1">
        <f>IF(AND(AP7&gt;=Inputs!$E$17,AP7&lt;Inputs!$E$21),1,0)</f>
        <v>0</v>
      </c>
      <c r="AQ11" s="1">
        <f>IF(AND(AQ7&gt;=Inputs!$E$17,AQ7&lt;Inputs!$E$21),1,0)</f>
        <v>0</v>
      </c>
      <c r="AR11" s="1">
        <f>IF(AND(AR7&gt;=Inputs!$E$17,AR7&lt;Inputs!$E$21),1,0)</f>
        <v>0</v>
      </c>
    </row>
    <row r="12" spans="1:44" ht="15">
      <c r="A12" s="2" t="s">
        <v>210</v>
      </c>
      <c r="C12" s="22"/>
    </row>
    <row r="13" spans="1:44">
      <c r="B13" s="1" t="s">
        <v>211</v>
      </c>
      <c r="C13" s="22" t="s">
        <v>49</v>
      </c>
      <c r="F13" s="1">
        <f>(F11+D13)*F11</f>
        <v>0</v>
      </c>
      <c r="G13" s="1">
        <f t="shared" ref="G13:AG13" si="6">(G11+F13)*G11</f>
        <v>0</v>
      </c>
      <c r="H13" s="1">
        <f t="shared" si="6"/>
        <v>0</v>
      </c>
      <c r="I13" s="1">
        <f t="shared" si="6"/>
        <v>0</v>
      </c>
      <c r="J13" s="1">
        <f t="shared" si="6"/>
        <v>0</v>
      </c>
      <c r="K13" s="1">
        <f t="shared" si="6"/>
        <v>0</v>
      </c>
      <c r="L13" s="1">
        <f t="shared" si="6"/>
        <v>0</v>
      </c>
      <c r="M13" s="1">
        <f t="shared" si="6"/>
        <v>0</v>
      </c>
      <c r="N13" s="1">
        <f t="shared" si="6"/>
        <v>0</v>
      </c>
      <c r="O13" s="1">
        <f t="shared" si="6"/>
        <v>1</v>
      </c>
      <c r="P13" s="1">
        <f t="shared" si="6"/>
        <v>2</v>
      </c>
      <c r="Q13" s="1">
        <f t="shared" si="6"/>
        <v>3</v>
      </c>
      <c r="R13" s="1">
        <f t="shared" si="6"/>
        <v>4</v>
      </c>
      <c r="S13" s="1">
        <f t="shared" si="6"/>
        <v>5</v>
      </c>
      <c r="T13" s="1">
        <f t="shared" si="6"/>
        <v>6</v>
      </c>
      <c r="U13" s="1">
        <f t="shared" si="6"/>
        <v>7</v>
      </c>
      <c r="V13" s="1">
        <f t="shared" si="6"/>
        <v>8</v>
      </c>
      <c r="W13" s="1">
        <f t="shared" si="6"/>
        <v>9</v>
      </c>
      <c r="X13" s="1">
        <f t="shared" si="6"/>
        <v>10</v>
      </c>
      <c r="Y13" s="1">
        <f t="shared" si="6"/>
        <v>11</v>
      </c>
      <c r="Z13" s="1">
        <f t="shared" si="6"/>
        <v>12</v>
      </c>
      <c r="AA13" s="1">
        <f t="shared" si="6"/>
        <v>13</v>
      </c>
      <c r="AB13" s="1">
        <f t="shared" si="6"/>
        <v>14</v>
      </c>
      <c r="AC13" s="1">
        <f t="shared" si="6"/>
        <v>15</v>
      </c>
      <c r="AD13" s="1">
        <f t="shared" si="6"/>
        <v>16</v>
      </c>
      <c r="AE13" s="1">
        <f t="shared" si="6"/>
        <v>17</v>
      </c>
      <c r="AF13" s="1">
        <f t="shared" si="6"/>
        <v>18</v>
      </c>
      <c r="AG13" s="1">
        <f t="shared" si="6"/>
        <v>19</v>
      </c>
      <c r="AH13" s="1">
        <f>(AH11+AG13)*AH11</f>
        <v>20</v>
      </c>
      <c r="AI13" s="1">
        <f t="shared" ref="AI13:AR13" si="7">(AI11+AH13)*AI11</f>
        <v>0</v>
      </c>
      <c r="AJ13" s="1">
        <f t="shared" si="7"/>
        <v>0</v>
      </c>
      <c r="AK13" s="1">
        <f t="shared" si="7"/>
        <v>0</v>
      </c>
      <c r="AL13" s="1">
        <f t="shared" si="7"/>
        <v>0</v>
      </c>
      <c r="AM13" s="1">
        <f t="shared" si="7"/>
        <v>0</v>
      </c>
      <c r="AN13" s="1">
        <f t="shared" si="7"/>
        <v>0</v>
      </c>
      <c r="AO13" s="1">
        <f t="shared" si="7"/>
        <v>0</v>
      </c>
      <c r="AP13" s="1">
        <f t="shared" si="7"/>
        <v>0</v>
      </c>
      <c r="AQ13" s="1">
        <f t="shared" si="7"/>
        <v>0</v>
      </c>
      <c r="AR13" s="1">
        <f t="shared" si="7"/>
        <v>0</v>
      </c>
    </row>
    <row r="14" spans="1:44" ht="15">
      <c r="A14" s="2" t="s">
        <v>9</v>
      </c>
      <c r="C14" s="22"/>
    </row>
    <row r="15" spans="1:44">
      <c r="B15" s="1" t="s">
        <v>65</v>
      </c>
      <c r="C15" s="22" t="s">
        <v>49</v>
      </c>
      <c r="D15" s="73">
        <f>Inputs!E24</f>
        <v>0</v>
      </c>
      <c r="E15" s="73"/>
      <c r="F15" s="3">
        <f>1/(1+$D15)^(F$10-1)</f>
        <v>1</v>
      </c>
      <c r="G15" s="3">
        <f t="shared" ref="G15:AR15" si="8">1/(1+$D15)^(G$10-1)</f>
        <v>1</v>
      </c>
      <c r="H15" s="3">
        <f t="shared" si="8"/>
        <v>1</v>
      </c>
      <c r="I15" s="3">
        <f t="shared" si="8"/>
        <v>1</v>
      </c>
      <c r="J15" s="3">
        <f t="shared" si="8"/>
        <v>1</v>
      </c>
      <c r="K15" s="3">
        <f t="shared" si="8"/>
        <v>1</v>
      </c>
      <c r="L15" s="3">
        <f t="shared" si="8"/>
        <v>1</v>
      </c>
      <c r="M15" s="3">
        <f t="shared" si="8"/>
        <v>1</v>
      </c>
      <c r="N15" s="3">
        <f t="shared" si="8"/>
        <v>1</v>
      </c>
      <c r="O15" s="3">
        <f t="shared" si="8"/>
        <v>1</v>
      </c>
      <c r="P15" s="3">
        <f t="shared" si="8"/>
        <v>1</v>
      </c>
      <c r="Q15" s="3">
        <f t="shared" si="8"/>
        <v>1</v>
      </c>
      <c r="R15" s="3">
        <f t="shared" si="8"/>
        <v>1</v>
      </c>
      <c r="S15" s="3">
        <f t="shared" si="8"/>
        <v>1</v>
      </c>
      <c r="T15" s="3">
        <f t="shared" si="8"/>
        <v>1</v>
      </c>
      <c r="U15" s="3">
        <f t="shared" si="8"/>
        <v>1</v>
      </c>
      <c r="V15" s="3">
        <f t="shared" si="8"/>
        <v>1</v>
      </c>
      <c r="W15" s="3">
        <f t="shared" si="8"/>
        <v>1</v>
      </c>
      <c r="X15" s="3">
        <f t="shared" si="8"/>
        <v>1</v>
      </c>
      <c r="Y15" s="3">
        <f t="shared" si="8"/>
        <v>1</v>
      </c>
      <c r="Z15" s="3">
        <f t="shared" si="8"/>
        <v>1</v>
      </c>
      <c r="AA15" s="3">
        <f t="shared" si="8"/>
        <v>1</v>
      </c>
      <c r="AB15" s="3">
        <f t="shared" si="8"/>
        <v>1</v>
      </c>
      <c r="AC15" s="3">
        <f t="shared" si="8"/>
        <v>1</v>
      </c>
      <c r="AD15" s="3">
        <f t="shared" si="8"/>
        <v>1</v>
      </c>
      <c r="AE15" s="3">
        <f t="shared" si="8"/>
        <v>1</v>
      </c>
      <c r="AF15" s="3">
        <f t="shared" si="8"/>
        <v>1</v>
      </c>
      <c r="AG15" s="3">
        <f t="shared" si="8"/>
        <v>1</v>
      </c>
      <c r="AH15" s="3">
        <f t="shared" si="8"/>
        <v>1</v>
      </c>
      <c r="AI15" s="3">
        <f t="shared" si="8"/>
        <v>1</v>
      </c>
      <c r="AJ15" s="3">
        <f t="shared" si="8"/>
        <v>1</v>
      </c>
      <c r="AK15" s="3">
        <f t="shared" si="8"/>
        <v>1</v>
      </c>
      <c r="AL15" s="3">
        <f t="shared" si="8"/>
        <v>1</v>
      </c>
      <c r="AM15" s="3">
        <f t="shared" si="8"/>
        <v>1</v>
      </c>
      <c r="AN15" s="3">
        <f t="shared" si="8"/>
        <v>1</v>
      </c>
      <c r="AO15" s="3">
        <f t="shared" si="8"/>
        <v>1</v>
      </c>
      <c r="AP15" s="3">
        <f t="shared" si="8"/>
        <v>1</v>
      </c>
      <c r="AQ15" s="3">
        <f t="shared" si="8"/>
        <v>1</v>
      </c>
      <c r="AR15" s="3">
        <f t="shared" si="8"/>
        <v>1</v>
      </c>
    </row>
    <row r="16" spans="1:44">
      <c r="B16" s="1" t="s">
        <v>67</v>
      </c>
      <c r="C16" s="22" t="s">
        <v>49</v>
      </c>
      <c r="D16" s="73">
        <f>Inputs!E25</f>
        <v>0.03</v>
      </c>
      <c r="E16" s="73"/>
      <c r="F16" s="3">
        <f t="shared" ref="F16:G16" si="9">MIN(1,IF(F10=0,1,1/(1+$D16)^(F$10-1)))</f>
        <v>1</v>
      </c>
      <c r="G16" s="3">
        <f t="shared" si="9"/>
        <v>1</v>
      </c>
      <c r="H16" s="3">
        <f>MIN(1,IF(H10=0,1,1/(1+$D16)^(H$10-1)))</f>
        <v>1</v>
      </c>
      <c r="I16" s="3">
        <f t="shared" ref="I16:AR16" si="10">MIN(1,IF(I10=0,1,1/(1+$D16)^(I$10-1)))</f>
        <v>1</v>
      </c>
      <c r="J16" s="3">
        <f t="shared" si="10"/>
        <v>0.970873786407767</v>
      </c>
      <c r="K16" s="3">
        <f t="shared" si="10"/>
        <v>0.94259590913375435</v>
      </c>
      <c r="L16" s="3">
        <f t="shared" si="10"/>
        <v>0.91514165935315961</v>
      </c>
      <c r="M16" s="3">
        <f t="shared" si="10"/>
        <v>0.888487047915689</v>
      </c>
      <c r="N16" s="3">
        <f t="shared" si="10"/>
        <v>0.86260878438416411</v>
      </c>
      <c r="O16" s="3">
        <f t="shared" si="10"/>
        <v>0.83748425668365445</v>
      </c>
      <c r="P16" s="3">
        <f t="shared" si="10"/>
        <v>0.81309151134335378</v>
      </c>
      <c r="Q16" s="3">
        <f t="shared" si="10"/>
        <v>0.78940923431393573</v>
      </c>
      <c r="R16" s="3">
        <f t="shared" si="10"/>
        <v>0.76641673234362695</v>
      </c>
      <c r="S16" s="3">
        <f t="shared" si="10"/>
        <v>0.74409391489672516</v>
      </c>
      <c r="T16" s="3">
        <f t="shared" si="10"/>
        <v>0.72242127659876232</v>
      </c>
      <c r="U16" s="3">
        <f t="shared" si="10"/>
        <v>0.70137988019297326</v>
      </c>
      <c r="V16" s="3">
        <f t="shared" si="10"/>
        <v>0.68095133999317792</v>
      </c>
      <c r="W16" s="3">
        <f t="shared" si="10"/>
        <v>0.66111780581861923</v>
      </c>
      <c r="X16" s="3">
        <f t="shared" si="10"/>
        <v>0.64186194739671765</v>
      </c>
      <c r="Y16" s="3">
        <f t="shared" si="10"/>
        <v>0.62316693922011435</v>
      </c>
      <c r="Z16" s="3">
        <f t="shared" si="10"/>
        <v>0.60501644584477121</v>
      </c>
      <c r="AA16" s="3">
        <f t="shared" si="10"/>
        <v>0.5873946076162827</v>
      </c>
      <c r="AB16" s="3">
        <f t="shared" si="10"/>
        <v>0.57028602681192497</v>
      </c>
      <c r="AC16" s="3">
        <f t="shared" si="10"/>
        <v>0.55367575418633497</v>
      </c>
      <c r="AD16" s="3">
        <f t="shared" si="10"/>
        <v>0.5375492759090631</v>
      </c>
      <c r="AE16" s="3">
        <f t="shared" si="10"/>
        <v>0.52189250088258554</v>
      </c>
      <c r="AF16" s="3">
        <f t="shared" si="10"/>
        <v>0.50669174842969467</v>
      </c>
      <c r="AG16" s="3">
        <f t="shared" si="10"/>
        <v>0.49193373633950943</v>
      </c>
      <c r="AH16" s="3">
        <f t="shared" si="10"/>
        <v>0.47760556926165965</v>
      </c>
      <c r="AI16" s="3">
        <f t="shared" si="10"/>
        <v>0.46369472743850448</v>
      </c>
      <c r="AJ16" s="3">
        <f t="shared" si="10"/>
        <v>0.45018905576553836</v>
      </c>
      <c r="AK16" s="3">
        <f t="shared" si="10"/>
        <v>0.4370767531704256</v>
      </c>
      <c r="AL16" s="3">
        <f t="shared" si="10"/>
        <v>0.42434636230138412</v>
      </c>
      <c r="AM16" s="3">
        <f t="shared" si="10"/>
        <v>0.41198675951590691</v>
      </c>
      <c r="AN16" s="3">
        <f t="shared" si="10"/>
        <v>0.39998714516107459</v>
      </c>
      <c r="AO16" s="3">
        <f t="shared" si="10"/>
        <v>0.38833703413696569</v>
      </c>
      <c r="AP16" s="3">
        <f t="shared" si="10"/>
        <v>0.37702624673491814</v>
      </c>
      <c r="AQ16" s="3">
        <f t="shared" si="10"/>
        <v>0.36604489974263904</v>
      </c>
      <c r="AR16" s="3">
        <f t="shared" si="10"/>
        <v>0.35538339780838735</v>
      </c>
    </row>
    <row r="17" spans="1:44">
      <c r="B17" s="1" t="s">
        <v>68</v>
      </c>
      <c r="C17" s="22" t="s">
        <v>49</v>
      </c>
      <c r="D17" s="73">
        <f>Inputs!E26</f>
        <v>7.0000000000000007E-2</v>
      </c>
      <c r="E17" s="73"/>
      <c r="F17" s="3">
        <f t="shared" ref="F17:G17" si="11">MIN(1,IF(F10=0,1,1/(1+$D17)^(F$10-1)))</f>
        <v>1</v>
      </c>
      <c r="G17" s="3">
        <f t="shared" si="11"/>
        <v>1</v>
      </c>
      <c r="H17" s="3">
        <f>MIN(1,IF(H10=0,1,1/(1+$D17)^(H$10-1)))</f>
        <v>1</v>
      </c>
      <c r="I17" s="3">
        <f t="shared" ref="I17:AR17" si="12">MIN(1,IF(I10=0,1,1/(1+$D17)^(I$10-1)))</f>
        <v>1</v>
      </c>
      <c r="J17" s="3">
        <f t="shared" si="12"/>
        <v>0.93457943925233644</v>
      </c>
      <c r="K17" s="3">
        <f t="shared" si="12"/>
        <v>0.87343872827321156</v>
      </c>
      <c r="L17" s="3">
        <f t="shared" si="12"/>
        <v>0.81629787689085187</v>
      </c>
      <c r="M17" s="3">
        <f t="shared" si="12"/>
        <v>0.7628952120475252</v>
      </c>
      <c r="N17" s="3">
        <f t="shared" si="12"/>
        <v>0.71298617948366838</v>
      </c>
      <c r="O17" s="3">
        <f t="shared" si="12"/>
        <v>0.66634222381651254</v>
      </c>
      <c r="P17" s="3">
        <f t="shared" si="12"/>
        <v>0.62274974188459109</v>
      </c>
      <c r="Q17" s="3">
        <f t="shared" si="12"/>
        <v>0.5820091045650384</v>
      </c>
      <c r="R17" s="3">
        <f t="shared" si="12"/>
        <v>0.54393374258414806</v>
      </c>
      <c r="S17" s="3">
        <f t="shared" si="12"/>
        <v>0.5083492921347178</v>
      </c>
      <c r="T17" s="3">
        <f t="shared" si="12"/>
        <v>0.47509279638758667</v>
      </c>
      <c r="U17" s="3">
        <f t="shared" si="12"/>
        <v>0.44401195924073528</v>
      </c>
      <c r="V17" s="3">
        <f t="shared" si="12"/>
        <v>0.41496444788853759</v>
      </c>
      <c r="W17" s="3">
        <f t="shared" si="12"/>
        <v>0.3878172410173249</v>
      </c>
      <c r="X17" s="3">
        <f t="shared" si="12"/>
        <v>0.36244601964235967</v>
      </c>
      <c r="Y17" s="3">
        <f t="shared" si="12"/>
        <v>0.33873459779659787</v>
      </c>
      <c r="Z17" s="3">
        <f t="shared" si="12"/>
        <v>0.31657439046411018</v>
      </c>
      <c r="AA17" s="3">
        <f t="shared" si="12"/>
        <v>0.29586391632159825</v>
      </c>
      <c r="AB17" s="3">
        <f t="shared" si="12"/>
        <v>0.27650833301083949</v>
      </c>
      <c r="AC17" s="3">
        <f t="shared" si="12"/>
        <v>0.2584190028138687</v>
      </c>
      <c r="AD17" s="3">
        <f t="shared" si="12"/>
        <v>0.24151308674193336</v>
      </c>
      <c r="AE17" s="3">
        <f t="shared" si="12"/>
        <v>0.22571316517937698</v>
      </c>
      <c r="AF17" s="3">
        <f t="shared" si="12"/>
        <v>0.21094688334521211</v>
      </c>
      <c r="AG17" s="3">
        <f t="shared" si="12"/>
        <v>0.19714661994879637</v>
      </c>
      <c r="AH17" s="3">
        <f t="shared" si="12"/>
        <v>0.18424917752223957</v>
      </c>
      <c r="AI17" s="3">
        <f t="shared" si="12"/>
        <v>0.17219549301143888</v>
      </c>
      <c r="AJ17" s="3">
        <f t="shared" si="12"/>
        <v>0.16093036730041013</v>
      </c>
      <c r="AK17" s="3">
        <f t="shared" si="12"/>
        <v>0.15040221243028987</v>
      </c>
      <c r="AL17" s="3">
        <f t="shared" si="12"/>
        <v>0.1405628153554111</v>
      </c>
      <c r="AM17" s="3">
        <f t="shared" si="12"/>
        <v>0.13136711715458982</v>
      </c>
      <c r="AN17" s="3">
        <f t="shared" si="12"/>
        <v>0.1227730066865325</v>
      </c>
      <c r="AO17" s="3">
        <f t="shared" si="12"/>
        <v>0.11474112774442291</v>
      </c>
      <c r="AP17" s="3">
        <f t="shared" si="12"/>
        <v>0.10723469882656347</v>
      </c>
      <c r="AQ17" s="3">
        <f t="shared" si="12"/>
        <v>0.10021934469772288</v>
      </c>
      <c r="AR17" s="3">
        <f t="shared" si="12"/>
        <v>9.366293896983445E-2</v>
      </c>
    </row>
    <row r="19" spans="1:44">
      <c r="B19" s="1" t="s">
        <v>212</v>
      </c>
      <c r="C19" s="1" t="s">
        <v>43</v>
      </c>
      <c r="D19" s="1" t="s">
        <v>44</v>
      </c>
    </row>
    <row r="20" spans="1:44" s="9" customFormat="1">
      <c r="A20" s="8" t="s">
        <v>213</v>
      </c>
    </row>
    <row r="21" spans="1:44" ht="15">
      <c r="A21" s="2" t="s">
        <v>189</v>
      </c>
    </row>
    <row r="22" spans="1:44">
      <c r="C22" s="87"/>
      <c r="D22" s="86"/>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row>
    <row r="23" spans="1:44" ht="15">
      <c r="B23" s="2" t="s">
        <v>196</v>
      </c>
      <c r="C23" s="87"/>
      <c r="D23" s="86"/>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row>
    <row r="24" spans="1:44">
      <c r="B24" s="1" t="s">
        <v>190</v>
      </c>
      <c r="C24" s="22" t="s">
        <v>191</v>
      </c>
      <c r="D24" s="86">
        <f>Inputs!E145</f>
        <v>10</v>
      </c>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row>
    <row r="25" spans="1:44">
      <c r="B25" s="1" t="s">
        <v>193</v>
      </c>
      <c r="C25" s="22" t="s">
        <v>194</v>
      </c>
      <c r="D25" s="86">
        <f>Inputs!E146</f>
        <v>4</v>
      </c>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row>
    <row r="26" spans="1:44">
      <c r="B26" s="1" t="s">
        <v>195</v>
      </c>
      <c r="C26" s="22" t="s">
        <v>191</v>
      </c>
      <c r="D26" s="86">
        <f>Inputs!E147</f>
        <v>276</v>
      </c>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row>
    <row r="27" spans="1:44">
      <c r="B27" s="1" t="s">
        <v>196</v>
      </c>
      <c r="C27" s="22" t="s">
        <v>197</v>
      </c>
      <c r="D27" s="20">
        <f>Inputs!E148</f>
        <v>3.6231884057971016E-2</v>
      </c>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row>
    <row r="28" spans="1:44">
      <c r="B28" s="1" t="s">
        <v>196</v>
      </c>
      <c r="C28" s="22" t="s">
        <v>198</v>
      </c>
      <c r="D28" s="20">
        <f>Inputs!E149</f>
        <v>9.057971014492754E-3</v>
      </c>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row>
    <row r="29" spans="1:44">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row>
    <row r="30" spans="1:44" ht="15">
      <c r="A30" s="2"/>
      <c r="B30" s="2" t="s">
        <v>323</v>
      </c>
      <c r="C30" s="22"/>
      <c r="D30" s="20"/>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row>
    <row r="31" spans="1:44">
      <c r="B31" s="1" t="s">
        <v>199</v>
      </c>
      <c r="C31" s="22" t="s">
        <v>80</v>
      </c>
      <c r="D31" s="86">
        <f>Inputs!E150</f>
        <v>0</v>
      </c>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row>
    <row r="32" spans="1:44">
      <c r="B32" s="1" t="s">
        <v>324</v>
      </c>
      <c r="C32" s="22" t="s">
        <v>80</v>
      </c>
      <c r="D32" s="86">
        <f>Inputs!E151</f>
        <v>165985.14000000001</v>
      </c>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row>
    <row r="33" spans="1:44">
      <c r="B33" s="1" t="s">
        <v>202</v>
      </c>
      <c r="C33" s="22" t="s">
        <v>114</v>
      </c>
      <c r="D33" s="86">
        <f>Inputs!E152</f>
        <v>165985.14000000001</v>
      </c>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row>
    <row r="34" spans="1:44" ht="15">
      <c r="A34" s="2"/>
      <c r="B34" s="1" t="s">
        <v>202</v>
      </c>
      <c r="C34" s="22" t="s">
        <v>325</v>
      </c>
      <c r="D34" s="86">
        <f>SUM(F34:AR34)</f>
        <v>58636.054891304302</v>
      </c>
      <c r="F34" s="19">
        <f>$D$28*$D$33</f>
        <v>1503.4885869565219</v>
      </c>
      <c r="G34" s="19">
        <f t="shared" ref="G34:AR34" si="13">$D$28*$D$33</f>
        <v>1503.4885869565219</v>
      </c>
      <c r="H34" s="19">
        <f t="shared" si="13"/>
        <v>1503.4885869565219</v>
      </c>
      <c r="I34" s="19">
        <f t="shared" si="13"/>
        <v>1503.4885869565219</v>
      </c>
      <c r="J34" s="19">
        <f t="shared" si="13"/>
        <v>1503.4885869565219</v>
      </c>
      <c r="K34" s="19">
        <f t="shared" si="13"/>
        <v>1503.4885869565219</v>
      </c>
      <c r="L34" s="19">
        <f t="shared" si="13"/>
        <v>1503.4885869565219</v>
      </c>
      <c r="M34" s="19">
        <f t="shared" si="13"/>
        <v>1503.4885869565219</v>
      </c>
      <c r="N34" s="19">
        <f t="shared" si="13"/>
        <v>1503.4885869565219</v>
      </c>
      <c r="O34" s="19">
        <f t="shared" si="13"/>
        <v>1503.4885869565219</v>
      </c>
      <c r="P34" s="19">
        <f t="shared" si="13"/>
        <v>1503.4885869565219</v>
      </c>
      <c r="Q34" s="19">
        <f t="shared" si="13"/>
        <v>1503.4885869565219</v>
      </c>
      <c r="R34" s="19">
        <f t="shared" si="13"/>
        <v>1503.4885869565219</v>
      </c>
      <c r="S34" s="19">
        <f t="shared" si="13"/>
        <v>1503.4885869565219</v>
      </c>
      <c r="T34" s="19">
        <f t="shared" si="13"/>
        <v>1503.4885869565219</v>
      </c>
      <c r="U34" s="19">
        <f t="shared" si="13"/>
        <v>1503.4885869565219</v>
      </c>
      <c r="V34" s="19">
        <f t="shared" si="13"/>
        <v>1503.4885869565219</v>
      </c>
      <c r="W34" s="19">
        <f t="shared" si="13"/>
        <v>1503.4885869565219</v>
      </c>
      <c r="X34" s="19">
        <f t="shared" si="13"/>
        <v>1503.4885869565219</v>
      </c>
      <c r="Y34" s="19">
        <f t="shared" si="13"/>
        <v>1503.4885869565219</v>
      </c>
      <c r="Z34" s="19">
        <f t="shared" si="13"/>
        <v>1503.4885869565219</v>
      </c>
      <c r="AA34" s="19">
        <f t="shared" si="13"/>
        <v>1503.4885869565219</v>
      </c>
      <c r="AB34" s="19">
        <f t="shared" si="13"/>
        <v>1503.4885869565219</v>
      </c>
      <c r="AC34" s="19">
        <f t="shared" si="13"/>
        <v>1503.4885869565219</v>
      </c>
      <c r="AD34" s="19">
        <f t="shared" si="13"/>
        <v>1503.4885869565219</v>
      </c>
      <c r="AE34" s="19">
        <f t="shared" si="13"/>
        <v>1503.4885869565219</v>
      </c>
      <c r="AF34" s="19">
        <f t="shared" si="13"/>
        <v>1503.4885869565219</v>
      </c>
      <c r="AG34" s="19">
        <f t="shared" si="13"/>
        <v>1503.4885869565219</v>
      </c>
      <c r="AH34" s="19">
        <f t="shared" si="13"/>
        <v>1503.4885869565219</v>
      </c>
      <c r="AI34" s="19">
        <f t="shared" si="13"/>
        <v>1503.4885869565219</v>
      </c>
      <c r="AJ34" s="19">
        <f t="shared" si="13"/>
        <v>1503.4885869565219</v>
      </c>
      <c r="AK34" s="19">
        <f t="shared" si="13"/>
        <v>1503.4885869565219</v>
      </c>
      <c r="AL34" s="19">
        <f t="shared" si="13"/>
        <v>1503.4885869565219</v>
      </c>
      <c r="AM34" s="19">
        <f t="shared" si="13"/>
        <v>1503.4885869565219</v>
      </c>
      <c r="AN34" s="19">
        <f t="shared" si="13"/>
        <v>1503.4885869565219</v>
      </c>
      <c r="AO34" s="19">
        <f t="shared" si="13"/>
        <v>1503.4885869565219</v>
      </c>
      <c r="AP34" s="19">
        <f t="shared" si="13"/>
        <v>1503.4885869565219</v>
      </c>
      <c r="AQ34" s="19">
        <f t="shared" si="13"/>
        <v>1503.4885869565219</v>
      </c>
      <c r="AR34" s="19">
        <f t="shared" si="13"/>
        <v>1503.4885869565219</v>
      </c>
    </row>
    <row r="35" spans="1:44">
      <c r="C35" s="87"/>
      <c r="D35" s="86"/>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row>
    <row r="36" spans="1:44" ht="15">
      <c r="A36" s="2" t="s">
        <v>276</v>
      </c>
      <c r="C36" s="87"/>
      <c r="D36" s="86"/>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row>
    <row r="37" spans="1:44">
      <c r="B37" s="1" t="s">
        <v>277</v>
      </c>
      <c r="C37" s="22" t="s">
        <v>267</v>
      </c>
      <c r="D37" s="86">
        <f>SUM(F37:AR37)</f>
        <v>58636.054891304302</v>
      </c>
      <c r="F37" s="19">
        <f t="shared" ref="F37" si="14">F34</f>
        <v>1503.4885869565219</v>
      </c>
      <c r="G37" s="19">
        <f>G34</f>
        <v>1503.4885869565219</v>
      </c>
      <c r="H37" s="19">
        <f t="shared" ref="H37:AR37" si="15">H34</f>
        <v>1503.4885869565219</v>
      </c>
      <c r="I37" s="19">
        <f t="shared" si="15"/>
        <v>1503.4885869565219</v>
      </c>
      <c r="J37" s="19">
        <f t="shared" si="15"/>
        <v>1503.4885869565219</v>
      </c>
      <c r="K37" s="19">
        <f t="shared" si="15"/>
        <v>1503.4885869565219</v>
      </c>
      <c r="L37" s="19">
        <f t="shared" si="15"/>
        <v>1503.4885869565219</v>
      </c>
      <c r="M37" s="19">
        <f t="shared" si="15"/>
        <v>1503.4885869565219</v>
      </c>
      <c r="N37" s="19">
        <f t="shared" si="15"/>
        <v>1503.4885869565219</v>
      </c>
      <c r="O37" s="19">
        <f t="shared" si="15"/>
        <v>1503.4885869565219</v>
      </c>
      <c r="P37" s="19">
        <f t="shared" si="15"/>
        <v>1503.4885869565219</v>
      </c>
      <c r="Q37" s="19">
        <f t="shared" si="15"/>
        <v>1503.4885869565219</v>
      </c>
      <c r="R37" s="19">
        <f t="shared" si="15"/>
        <v>1503.4885869565219</v>
      </c>
      <c r="S37" s="19">
        <f t="shared" si="15"/>
        <v>1503.4885869565219</v>
      </c>
      <c r="T37" s="19">
        <f t="shared" si="15"/>
        <v>1503.4885869565219</v>
      </c>
      <c r="U37" s="19">
        <f t="shared" si="15"/>
        <v>1503.4885869565219</v>
      </c>
      <c r="V37" s="19">
        <f t="shared" si="15"/>
        <v>1503.4885869565219</v>
      </c>
      <c r="W37" s="19">
        <f t="shared" si="15"/>
        <v>1503.4885869565219</v>
      </c>
      <c r="X37" s="19">
        <f t="shared" si="15"/>
        <v>1503.4885869565219</v>
      </c>
      <c r="Y37" s="19">
        <f t="shared" si="15"/>
        <v>1503.4885869565219</v>
      </c>
      <c r="Z37" s="19">
        <f t="shared" si="15"/>
        <v>1503.4885869565219</v>
      </c>
      <c r="AA37" s="19">
        <f t="shared" si="15"/>
        <v>1503.4885869565219</v>
      </c>
      <c r="AB37" s="19">
        <f t="shared" si="15"/>
        <v>1503.4885869565219</v>
      </c>
      <c r="AC37" s="19">
        <f t="shared" si="15"/>
        <v>1503.4885869565219</v>
      </c>
      <c r="AD37" s="19">
        <f t="shared" si="15"/>
        <v>1503.4885869565219</v>
      </c>
      <c r="AE37" s="19">
        <f t="shared" si="15"/>
        <v>1503.4885869565219</v>
      </c>
      <c r="AF37" s="19">
        <f t="shared" si="15"/>
        <v>1503.4885869565219</v>
      </c>
      <c r="AG37" s="19">
        <f t="shared" si="15"/>
        <v>1503.4885869565219</v>
      </c>
      <c r="AH37" s="19">
        <f t="shared" si="15"/>
        <v>1503.4885869565219</v>
      </c>
      <c r="AI37" s="19">
        <f t="shared" si="15"/>
        <v>1503.4885869565219</v>
      </c>
      <c r="AJ37" s="19">
        <f t="shared" si="15"/>
        <v>1503.4885869565219</v>
      </c>
      <c r="AK37" s="19">
        <f t="shared" si="15"/>
        <v>1503.4885869565219</v>
      </c>
      <c r="AL37" s="19">
        <f t="shared" si="15"/>
        <v>1503.4885869565219</v>
      </c>
      <c r="AM37" s="19">
        <f t="shared" si="15"/>
        <v>1503.4885869565219</v>
      </c>
      <c r="AN37" s="19">
        <f t="shared" si="15"/>
        <v>1503.4885869565219</v>
      </c>
      <c r="AO37" s="19">
        <f t="shared" si="15"/>
        <v>1503.4885869565219</v>
      </c>
      <c r="AP37" s="19">
        <f t="shared" si="15"/>
        <v>1503.4885869565219</v>
      </c>
      <c r="AQ37" s="19">
        <f t="shared" si="15"/>
        <v>1503.4885869565219</v>
      </c>
      <c r="AR37" s="19">
        <f t="shared" si="15"/>
        <v>1503.4885869565219</v>
      </c>
    </row>
    <row r="38" spans="1:44">
      <c r="C38" s="12"/>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row>
    <row r="39" spans="1:44" s="9" customFormat="1">
      <c r="A39" s="8" t="s">
        <v>225</v>
      </c>
      <c r="B39" s="13"/>
      <c r="C39" s="13"/>
    </row>
    <row r="40" spans="1:44" ht="15">
      <c r="A40" s="2" t="s">
        <v>189</v>
      </c>
    </row>
    <row r="41" spans="1:44">
      <c r="B41" s="1" t="s">
        <v>202</v>
      </c>
      <c r="C41" s="22" t="s">
        <v>325</v>
      </c>
      <c r="D41" s="86">
        <f>SUM(F41:AR41)</f>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19">
        <v>0</v>
      </c>
      <c r="AQ41" s="19">
        <v>0</v>
      </c>
      <c r="AR41" s="19">
        <v>0</v>
      </c>
    </row>
    <row r="42" spans="1:44">
      <c r="C42" s="87"/>
      <c r="D42" s="86"/>
    </row>
    <row r="43" spans="1:44" s="9" customFormat="1">
      <c r="A43" s="8" t="s">
        <v>253</v>
      </c>
      <c r="B43" s="8"/>
      <c r="C43" s="13"/>
    </row>
    <row r="44" spans="1:44" ht="15">
      <c r="A44" s="2" t="s">
        <v>254</v>
      </c>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row>
    <row r="45" spans="1:44">
      <c r="B45" s="1" t="s">
        <v>221</v>
      </c>
      <c r="C45" s="87" t="s">
        <v>80</v>
      </c>
      <c r="D45" s="86">
        <f>SUM(F45:AR45)</f>
        <v>30069.771739130443</v>
      </c>
      <c r="F45" s="19">
        <f>(F$37-F$41)*F$11*F15</f>
        <v>0</v>
      </c>
      <c r="G45" s="19">
        <f t="shared" ref="G45:AR45" si="16">(G$37-G$41)*G$11*G15</f>
        <v>0</v>
      </c>
      <c r="H45" s="19">
        <f t="shared" si="16"/>
        <v>0</v>
      </c>
      <c r="I45" s="19">
        <f t="shared" si="16"/>
        <v>0</v>
      </c>
      <c r="J45" s="19">
        <f t="shared" si="16"/>
        <v>0</v>
      </c>
      <c r="K45" s="19">
        <f t="shared" si="16"/>
        <v>0</v>
      </c>
      <c r="L45" s="19">
        <f t="shared" si="16"/>
        <v>0</v>
      </c>
      <c r="M45" s="19">
        <f t="shared" si="16"/>
        <v>0</v>
      </c>
      <c r="N45" s="19">
        <f t="shared" si="16"/>
        <v>0</v>
      </c>
      <c r="O45" s="19">
        <f t="shared" si="16"/>
        <v>1503.4885869565219</v>
      </c>
      <c r="P45" s="19">
        <f t="shared" si="16"/>
        <v>1503.4885869565219</v>
      </c>
      <c r="Q45" s="19">
        <f t="shared" si="16"/>
        <v>1503.4885869565219</v>
      </c>
      <c r="R45" s="19">
        <f t="shared" si="16"/>
        <v>1503.4885869565219</v>
      </c>
      <c r="S45" s="19">
        <f t="shared" si="16"/>
        <v>1503.4885869565219</v>
      </c>
      <c r="T45" s="19">
        <f t="shared" si="16"/>
        <v>1503.4885869565219</v>
      </c>
      <c r="U45" s="19">
        <f t="shared" si="16"/>
        <v>1503.4885869565219</v>
      </c>
      <c r="V45" s="19">
        <f t="shared" si="16"/>
        <v>1503.4885869565219</v>
      </c>
      <c r="W45" s="19">
        <f t="shared" si="16"/>
        <v>1503.4885869565219</v>
      </c>
      <c r="X45" s="19">
        <f t="shared" si="16"/>
        <v>1503.4885869565219</v>
      </c>
      <c r="Y45" s="19">
        <f t="shared" si="16"/>
        <v>1503.4885869565219</v>
      </c>
      <c r="Z45" s="19">
        <f t="shared" si="16"/>
        <v>1503.4885869565219</v>
      </c>
      <c r="AA45" s="19">
        <f t="shared" si="16"/>
        <v>1503.4885869565219</v>
      </c>
      <c r="AB45" s="19">
        <f t="shared" si="16"/>
        <v>1503.4885869565219</v>
      </c>
      <c r="AC45" s="19">
        <f t="shared" si="16"/>
        <v>1503.4885869565219</v>
      </c>
      <c r="AD45" s="19">
        <f t="shared" si="16"/>
        <v>1503.4885869565219</v>
      </c>
      <c r="AE45" s="19">
        <f t="shared" si="16"/>
        <v>1503.4885869565219</v>
      </c>
      <c r="AF45" s="19">
        <f t="shared" si="16"/>
        <v>1503.4885869565219</v>
      </c>
      <c r="AG45" s="19">
        <f t="shared" si="16"/>
        <v>1503.4885869565219</v>
      </c>
      <c r="AH45" s="19">
        <f t="shared" si="16"/>
        <v>1503.4885869565219</v>
      </c>
      <c r="AI45" s="19">
        <f t="shared" si="16"/>
        <v>0</v>
      </c>
      <c r="AJ45" s="19">
        <f t="shared" si="16"/>
        <v>0</v>
      </c>
      <c r="AK45" s="19">
        <f t="shared" si="16"/>
        <v>0</v>
      </c>
      <c r="AL45" s="19">
        <f t="shared" si="16"/>
        <v>0</v>
      </c>
      <c r="AM45" s="19">
        <f t="shared" si="16"/>
        <v>0</v>
      </c>
      <c r="AN45" s="19">
        <f t="shared" si="16"/>
        <v>0</v>
      </c>
      <c r="AO45" s="19">
        <f t="shared" si="16"/>
        <v>0</v>
      </c>
      <c r="AP45" s="19">
        <f t="shared" si="16"/>
        <v>0</v>
      </c>
      <c r="AQ45" s="19">
        <f t="shared" si="16"/>
        <v>0</v>
      </c>
      <c r="AR45" s="19">
        <f t="shared" si="16"/>
        <v>0</v>
      </c>
    </row>
    <row r="46" spans="1:44">
      <c r="B46" s="1" t="s">
        <v>222</v>
      </c>
      <c r="C46" s="87" t="s">
        <v>80</v>
      </c>
      <c r="D46" s="86">
        <f>SUM(F46:AR46)</f>
        <v>19294.931329275078</v>
      </c>
      <c r="F46" s="19">
        <f t="shared" ref="F46:AR46" si="17">(F$37-F$41)*F$11*F16</f>
        <v>0</v>
      </c>
      <c r="G46" s="19">
        <f t="shared" si="17"/>
        <v>0</v>
      </c>
      <c r="H46" s="19">
        <f t="shared" si="17"/>
        <v>0</v>
      </c>
      <c r="I46" s="19">
        <f t="shared" si="17"/>
        <v>0</v>
      </c>
      <c r="J46" s="19">
        <f t="shared" si="17"/>
        <v>0</v>
      </c>
      <c r="K46" s="19">
        <f t="shared" si="17"/>
        <v>0</v>
      </c>
      <c r="L46" s="19">
        <f t="shared" si="17"/>
        <v>0</v>
      </c>
      <c r="M46" s="19">
        <f t="shared" si="17"/>
        <v>0</v>
      </c>
      <c r="N46" s="19">
        <f t="shared" si="17"/>
        <v>0</v>
      </c>
      <c r="O46" s="19">
        <f t="shared" si="17"/>
        <v>1259.1480216796408</v>
      </c>
      <c r="P46" s="19">
        <f t="shared" si="17"/>
        <v>1222.4738074559618</v>
      </c>
      <c r="Q46" s="19">
        <f t="shared" si="17"/>
        <v>1186.867774229089</v>
      </c>
      <c r="R46" s="19">
        <f t="shared" si="17"/>
        <v>1152.2988099311544</v>
      </c>
      <c r="S46" s="19">
        <f t="shared" si="17"/>
        <v>1118.7367086710237</v>
      </c>
      <c r="T46" s="19">
        <f t="shared" si="17"/>
        <v>1086.1521443407999</v>
      </c>
      <c r="U46" s="19">
        <f t="shared" si="17"/>
        <v>1054.516644991068</v>
      </c>
      <c r="V46" s="19">
        <f t="shared" si="17"/>
        <v>1023.8025679524932</v>
      </c>
      <c r="W46" s="19">
        <f t="shared" si="17"/>
        <v>993.98307568203199</v>
      </c>
      <c r="X46" s="19">
        <f t="shared" si="17"/>
        <v>965.03211231265243</v>
      </c>
      <c r="Y46" s="19">
        <f t="shared" si="17"/>
        <v>936.92438088607048</v>
      </c>
      <c r="Z46" s="19">
        <f t="shared" si="17"/>
        <v>909.63532124861217</v>
      </c>
      <c r="AA46" s="19">
        <f t="shared" si="17"/>
        <v>883.14108859088549</v>
      </c>
      <c r="AB46" s="19">
        <f t="shared" si="17"/>
        <v>857.41853261251026</v>
      </c>
      <c r="AC46" s="19">
        <f t="shared" si="17"/>
        <v>832.44517729369932</v>
      </c>
      <c r="AD46" s="19">
        <f t="shared" si="17"/>
        <v>808.1992012560188</v>
      </c>
      <c r="AE46" s="19">
        <f t="shared" si="17"/>
        <v>784.65941869516394</v>
      </c>
      <c r="AF46" s="19">
        <f t="shared" si="17"/>
        <v>761.80526086909106</v>
      </c>
      <c r="AG46" s="19">
        <f t="shared" si="17"/>
        <v>739.61675812533122</v>
      </c>
      <c r="AH46" s="19">
        <f t="shared" si="17"/>
        <v>718.07452245177785</v>
      </c>
      <c r="AI46" s="19">
        <f t="shared" si="17"/>
        <v>0</v>
      </c>
      <c r="AJ46" s="19">
        <f t="shared" si="17"/>
        <v>0</v>
      </c>
      <c r="AK46" s="19">
        <f t="shared" si="17"/>
        <v>0</v>
      </c>
      <c r="AL46" s="19">
        <f t="shared" si="17"/>
        <v>0</v>
      </c>
      <c r="AM46" s="19">
        <f t="shared" si="17"/>
        <v>0</v>
      </c>
      <c r="AN46" s="19">
        <f t="shared" si="17"/>
        <v>0</v>
      </c>
      <c r="AO46" s="19">
        <f t="shared" si="17"/>
        <v>0</v>
      </c>
      <c r="AP46" s="19">
        <f t="shared" si="17"/>
        <v>0</v>
      </c>
      <c r="AQ46" s="19">
        <f t="shared" si="17"/>
        <v>0</v>
      </c>
      <c r="AR46" s="19">
        <f t="shared" si="17"/>
        <v>0</v>
      </c>
    </row>
    <row r="47" spans="1:44">
      <c r="B47" s="1" t="s">
        <v>223</v>
      </c>
      <c r="C47" s="87" t="s">
        <v>80</v>
      </c>
      <c r="D47" s="86">
        <f>SUM(F47:AR47)</f>
        <v>11356.429256437374</v>
      </c>
      <c r="F47" s="19">
        <f t="shared" ref="F47:AR47" si="18">(F$37-F$41)*F$11*F17</f>
        <v>0</v>
      </c>
      <c r="G47" s="19">
        <f t="shared" si="18"/>
        <v>0</v>
      </c>
      <c r="H47" s="19">
        <f t="shared" si="18"/>
        <v>0</v>
      </c>
      <c r="I47" s="19">
        <f t="shared" si="18"/>
        <v>0</v>
      </c>
      <c r="J47" s="19">
        <f t="shared" si="18"/>
        <v>0</v>
      </c>
      <c r="K47" s="19">
        <f t="shared" si="18"/>
        <v>0</v>
      </c>
      <c r="L47" s="19">
        <f t="shared" si="18"/>
        <v>0</v>
      </c>
      <c r="M47" s="19">
        <f t="shared" si="18"/>
        <v>0</v>
      </c>
      <c r="N47" s="19">
        <f t="shared" si="18"/>
        <v>0</v>
      </c>
      <c r="O47" s="19">
        <f t="shared" si="18"/>
        <v>1001.8379285153549</v>
      </c>
      <c r="P47" s="19">
        <f t="shared" si="18"/>
        <v>936.29712945360257</v>
      </c>
      <c r="Q47" s="19">
        <f t="shared" si="18"/>
        <v>875.0440462183202</v>
      </c>
      <c r="R47" s="19">
        <f t="shared" si="18"/>
        <v>817.7981740358133</v>
      </c>
      <c r="S47" s="19">
        <f t="shared" si="18"/>
        <v>764.29735891197504</v>
      </c>
      <c r="T47" s="19">
        <f t="shared" si="18"/>
        <v>714.29659711399529</v>
      </c>
      <c r="U47" s="19">
        <f t="shared" si="18"/>
        <v>667.56691319064987</v>
      </c>
      <c r="V47" s="19">
        <f t="shared" si="18"/>
        <v>623.89431139313069</v>
      </c>
      <c r="W47" s="19">
        <f t="shared" si="18"/>
        <v>583.07879569451472</v>
      </c>
      <c r="X47" s="19">
        <f t="shared" si="18"/>
        <v>544.93345392010713</v>
      </c>
      <c r="Y47" s="19">
        <f t="shared" si="18"/>
        <v>509.28360179449271</v>
      </c>
      <c r="Z47" s="19">
        <f t="shared" si="18"/>
        <v>475.96598298550725</v>
      </c>
      <c r="AA47" s="19">
        <f t="shared" si="18"/>
        <v>444.8280214817824</v>
      </c>
      <c r="AB47" s="19">
        <f t="shared" si="18"/>
        <v>415.72712288017044</v>
      </c>
      <c r="AC47" s="19">
        <f t="shared" si="18"/>
        <v>388.53002138333693</v>
      </c>
      <c r="AD47" s="19">
        <f t="shared" si="18"/>
        <v>363.11216951713732</v>
      </c>
      <c r="AE47" s="19">
        <f t="shared" si="18"/>
        <v>339.35716777302554</v>
      </c>
      <c r="AF47" s="19">
        <f t="shared" si="18"/>
        <v>317.1562315635752</v>
      </c>
      <c r="AG47" s="19">
        <f t="shared" si="18"/>
        <v>296.40769305007029</v>
      </c>
      <c r="AH47" s="19">
        <f t="shared" si="18"/>
        <v>277.01653556081334</v>
      </c>
      <c r="AI47" s="19">
        <f t="shared" si="18"/>
        <v>0</v>
      </c>
      <c r="AJ47" s="19">
        <f t="shared" si="18"/>
        <v>0</v>
      </c>
      <c r="AK47" s="19">
        <f t="shared" si="18"/>
        <v>0</v>
      </c>
      <c r="AL47" s="19">
        <f t="shared" si="18"/>
        <v>0</v>
      </c>
      <c r="AM47" s="19">
        <f t="shared" si="18"/>
        <v>0</v>
      </c>
      <c r="AN47" s="19">
        <f t="shared" si="18"/>
        <v>0</v>
      </c>
      <c r="AO47" s="19">
        <f t="shared" si="18"/>
        <v>0</v>
      </c>
      <c r="AP47" s="19">
        <f t="shared" si="18"/>
        <v>0</v>
      </c>
      <c r="AQ47" s="19">
        <f t="shared" si="18"/>
        <v>0</v>
      </c>
      <c r="AR47" s="19">
        <f t="shared" si="18"/>
        <v>0</v>
      </c>
    </row>
    <row r="48" spans="1:44">
      <c r="C48" s="87"/>
      <c r="D48" s="86"/>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D077F-C55F-40E8-9639-AAA7A25FE009}">
  <sheetPr>
    <tabColor theme="9"/>
  </sheetPr>
  <dimension ref="A1:AS57"/>
  <sheetViews>
    <sheetView workbookViewId="0">
      <pane xSplit="4" ySplit="11" topLeftCell="E12" activePane="bottomRight" state="frozen"/>
      <selection pane="bottomRight" activeCell="A2" sqref="A2"/>
      <selection pane="bottomLeft" activeCell="A12" sqref="A12"/>
      <selection pane="topRight" activeCell="E1" sqref="E1"/>
    </sheetView>
  </sheetViews>
  <sheetFormatPr defaultColWidth="0" defaultRowHeight="14.25"/>
  <cols>
    <col min="1" max="1" width="11" style="1" customWidth="1"/>
    <col min="2" max="2" width="32.5703125" style="1" bestFit="1" customWidth="1"/>
    <col min="3" max="3" width="15.42578125" style="1" bestFit="1" customWidth="1"/>
    <col min="4" max="4" width="15.140625" style="1" bestFit="1" customWidth="1"/>
    <col min="5" max="5" width="1.5703125" style="1" customWidth="1"/>
    <col min="6" max="44" width="14.42578125" style="1" customWidth="1"/>
    <col min="45" max="45" width="9.140625" style="1" customWidth="1"/>
    <col min="46" max="16384" width="9.140625" style="1" hidden="1"/>
  </cols>
  <sheetData>
    <row r="1" spans="1:44" ht="19.5">
      <c r="A1" s="7" t="str">
        <f>Summary!$A$1</f>
        <v>Multimodal Improvements to Safely Connect Tulsa at US-75 and 81st Street Interchange</v>
      </c>
    </row>
    <row r="2" spans="1:44" ht="19.5">
      <c r="A2" s="7" t="s">
        <v>326</v>
      </c>
      <c r="C2" s="12"/>
    </row>
    <row r="3" spans="1:44">
      <c r="A3" s="55">
        <f ca="1">Summary!A3</f>
        <v>44984</v>
      </c>
      <c r="C3" s="12"/>
    </row>
    <row r="4" spans="1:44">
      <c r="A4" s="56" t="str">
        <f>Summary!A4</f>
        <v>All $ values 2021, unless otherwise noted</v>
      </c>
      <c r="C4" s="12"/>
    </row>
    <row r="5" spans="1:44">
      <c r="B5" s="70"/>
      <c r="C5" s="12"/>
    </row>
    <row r="6" spans="1:44">
      <c r="C6" s="1" t="s">
        <v>43</v>
      </c>
      <c r="D6" s="1" t="s">
        <v>44</v>
      </c>
    </row>
    <row r="7" spans="1:44" s="9" customFormat="1">
      <c r="A7" s="9" t="s">
        <v>204</v>
      </c>
      <c r="C7" s="293" t="s">
        <v>204</v>
      </c>
      <c r="F7" s="9">
        <f>Inputs!$E$12</f>
        <v>2018</v>
      </c>
      <c r="G7" s="9">
        <f>F7+1</f>
        <v>2019</v>
      </c>
      <c r="H7" s="9">
        <f t="shared" ref="H7:W8" si="0">G7+1</f>
        <v>2020</v>
      </c>
      <c r="I7" s="9">
        <f t="shared" si="0"/>
        <v>2021</v>
      </c>
      <c r="J7" s="9">
        <f t="shared" si="0"/>
        <v>2022</v>
      </c>
      <c r="K7" s="9">
        <f t="shared" si="0"/>
        <v>2023</v>
      </c>
      <c r="L7" s="9">
        <f t="shared" si="0"/>
        <v>2024</v>
      </c>
      <c r="M7" s="9">
        <f t="shared" si="0"/>
        <v>2025</v>
      </c>
      <c r="N7" s="9">
        <f t="shared" si="0"/>
        <v>2026</v>
      </c>
      <c r="O7" s="9">
        <f t="shared" si="0"/>
        <v>2027</v>
      </c>
      <c r="P7" s="9">
        <f t="shared" si="0"/>
        <v>2028</v>
      </c>
      <c r="Q7" s="9">
        <f t="shared" si="0"/>
        <v>2029</v>
      </c>
      <c r="R7" s="9">
        <f t="shared" si="0"/>
        <v>2030</v>
      </c>
      <c r="S7" s="9">
        <f t="shared" si="0"/>
        <v>2031</v>
      </c>
      <c r="T7" s="9">
        <f t="shared" si="0"/>
        <v>2032</v>
      </c>
      <c r="U7" s="9">
        <f t="shared" si="0"/>
        <v>2033</v>
      </c>
      <c r="V7" s="9">
        <f t="shared" si="0"/>
        <v>2034</v>
      </c>
      <c r="W7" s="9">
        <f t="shared" si="0"/>
        <v>2035</v>
      </c>
      <c r="X7" s="9">
        <f t="shared" ref="X7:AM8" si="1">W7+1</f>
        <v>2036</v>
      </c>
      <c r="Y7" s="9">
        <f t="shared" si="1"/>
        <v>2037</v>
      </c>
      <c r="Z7" s="9">
        <f t="shared" si="1"/>
        <v>2038</v>
      </c>
      <c r="AA7" s="9">
        <f t="shared" si="1"/>
        <v>2039</v>
      </c>
      <c r="AB7" s="9">
        <f t="shared" si="1"/>
        <v>2040</v>
      </c>
      <c r="AC7" s="9">
        <f t="shared" si="1"/>
        <v>2041</v>
      </c>
      <c r="AD7" s="9">
        <f t="shared" si="1"/>
        <v>2042</v>
      </c>
      <c r="AE7" s="9">
        <f t="shared" si="1"/>
        <v>2043</v>
      </c>
      <c r="AF7" s="9">
        <f t="shared" si="1"/>
        <v>2044</v>
      </c>
      <c r="AG7" s="9">
        <f t="shared" si="1"/>
        <v>2045</v>
      </c>
      <c r="AH7" s="9">
        <f t="shared" si="1"/>
        <v>2046</v>
      </c>
      <c r="AI7" s="9">
        <f t="shared" si="1"/>
        <v>2047</v>
      </c>
      <c r="AJ7" s="9">
        <f t="shared" si="1"/>
        <v>2048</v>
      </c>
      <c r="AK7" s="9">
        <f t="shared" si="1"/>
        <v>2049</v>
      </c>
      <c r="AL7" s="9">
        <f t="shared" si="1"/>
        <v>2050</v>
      </c>
      <c r="AM7" s="9">
        <f t="shared" si="1"/>
        <v>2051</v>
      </c>
      <c r="AN7" s="9">
        <f t="shared" ref="AN7:AR8" si="2">AM7+1</f>
        <v>2052</v>
      </c>
      <c r="AO7" s="9">
        <f t="shared" si="2"/>
        <v>2053</v>
      </c>
      <c r="AP7" s="9">
        <f t="shared" si="2"/>
        <v>2054</v>
      </c>
      <c r="AQ7" s="9">
        <f t="shared" si="2"/>
        <v>2055</v>
      </c>
      <c r="AR7" s="9">
        <f t="shared" si="2"/>
        <v>2056</v>
      </c>
    </row>
    <row r="8" spans="1:44" hidden="1">
      <c r="B8" s="1" t="s">
        <v>205</v>
      </c>
      <c r="C8" s="22" t="s">
        <v>49</v>
      </c>
      <c r="F8" s="1">
        <f>D8+1</f>
        <v>1</v>
      </c>
      <c r="G8" s="1">
        <f t="shared" ref="G8" si="3">F8+1</f>
        <v>2</v>
      </c>
      <c r="H8" s="1">
        <f t="shared" si="0"/>
        <v>3</v>
      </c>
      <c r="I8" s="1">
        <f t="shared" si="0"/>
        <v>4</v>
      </c>
      <c r="J8" s="1">
        <f t="shared" si="0"/>
        <v>5</v>
      </c>
      <c r="K8" s="1">
        <f t="shared" si="0"/>
        <v>6</v>
      </c>
      <c r="L8" s="1">
        <f t="shared" si="0"/>
        <v>7</v>
      </c>
      <c r="M8" s="1">
        <f t="shared" si="0"/>
        <v>8</v>
      </c>
      <c r="N8" s="1">
        <f t="shared" si="0"/>
        <v>9</v>
      </c>
      <c r="O8" s="1">
        <f t="shared" si="0"/>
        <v>10</v>
      </c>
      <c r="P8" s="1">
        <f t="shared" si="0"/>
        <v>11</v>
      </c>
      <c r="Q8" s="1">
        <f t="shared" si="0"/>
        <v>12</v>
      </c>
      <c r="R8" s="1">
        <f t="shared" si="0"/>
        <v>13</v>
      </c>
      <c r="S8" s="1">
        <f t="shared" si="0"/>
        <v>14</v>
      </c>
      <c r="T8" s="1">
        <f t="shared" si="0"/>
        <v>15</v>
      </c>
      <c r="U8" s="1">
        <f t="shared" si="0"/>
        <v>16</v>
      </c>
      <c r="V8" s="1">
        <f t="shared" si="0"/>
        <v>17</v>
      </c>
      <c r="W8" s="1">
        <f t="shared" si="0"/>
        <v>18</v>
      </c>
      <c r="X8" s="1">
        <f t="shared" si="1"/>
        <v>19</v>
      </c>
      <c r="Y8" s="1">
        <f t="shared" si="1"/>
        <v>20</v>
      </c>
      <c r="Z8" s="1">
        <f t="shared" si="1"/>
        <v>21</v>
      </c>
      <c r="AA8" s="1">
        <f t="shared" si="1"/>
        <v>22</v>
      </c>
      <c r="AB8" s="1">
        <f t="shared" si="1"/>
        <v>23</v>
      </c>
      <c r="AC8" s="1">
        <f t="shared" si="1"/>
        <v>24</v>
      </c>
      <c r="AD8" s="1">
        <f t="shared" si="1"/>
        <v>25</v>
      </c>
      <c r="AE8" s="1">
        <f t="shared" si="1"/>
        <v>26</v>
      </c>
      <c r="AF8" s="1">
        <f t="shared" si="1"/>
        <v>27</v>
      </c>
      <c r="AG8" s="1">
        <f t="shared" si="1"/>
        <v>28</v>
      </c>
      <c r="AH8" s="1">
        <f t="shared" si="1"/>
        <v>29</v>
      </c>
      <c r="AI8" s="1">
        <f t="shared" si="1"/>
        <v>30</v>
      </c>
      <c r="AJ8" s="1">
        <f t="shared" si="1"/>
        <v>31</v>
      </c>
      <c r="AK8" s="1">
        <f t="shared" si="1"/>
        <v>32</v>
      </c>
      <c r="AL8" s="1">
        <f t="shared" si="1"/>
        <v>33</v>
      </c>
      <c r="AM8" s="1">
        <f t="shared" si="1"/>
        <v>34</v>
      </c>
      <c r="AN8" s="1">
        <f t="shared" si="2"/>
        <v>35</v>
      </c>
      <c r="AO8" s="1">
        <f t="shared" si="2"/>
        <v>36</v>
      </c>
      <c r="AP8" s="1">
        <f t="shared" si="2"/>
        <v>37</v>
      </c>
      <c r="AQ8" s="1">
        <f t="shared" si="2"/>
        <v>38</v>
      </c>
      <c r="AR8" s="1">
        <f t="shared" si="2"/>
        <v>39</v>
      </c>
    </row>
    <row r="9" spans="1:44" hidden="1">
      <c r="B9" s="1" t="s">
        <v>206</v>
      </c>
      <c r="C9" s="22" t="s">
        <v>207</v>
      </c>
      <c r="F9" s="1">
        <f>IF(F7=Inputs!$E$13,1,0)</f>
        <v>0</v>
      </c>
      <c r="G9" s="1">
        <f>IF(G7=Inputs!$E$13,1,0)</f>
        <v>0</v>
      </c>
      <c r="H9" s="1">
        <f>IF(H7=Inputs!$E$13,1,0)</f>
        <v>0</v>
      </c>
      <c r="I9" s="1">
        <f>IF(I7=Inputs!$E$13,1,0)</f>
        <v>1</v>
      </c>
      <c r="J9" s="1">
        <f>IF(J7=Inputs!$E$13,1,0)</f>
        <v>0</v>
      </c>
      <c r="K9" s="1">
        <f>IF(K7=Inputs!$E$13,1,0)</f>
        <v>0</v>
      </c>
      <c r="L9" s="1">
        <f>IF(L7=Inputs!$E$13,1,0)</f>
        <v>0</v>
      </c>
      <c r="M9" s="1">
        <f>IF(M7=Inputs!$E$13,1,0)</f>
        <v>0</v>
      </c>
      <c r="N9" s="1">
        <f>IF(N7=Inputs!$E$13,1,0)</f>
        <v>0</v>
      </c>
      <c r="O9" s="1">
        <f>IF(O7=Inputs!$E$13,1,0)</f>
        <v>0</v>
      </c>
      <c r="P9" s="1">
        <f>IF(P7=Inputs!$E$13,1,0)</f>
        <v>0</v>
      </c>
      <c r="Q9" s="1">
        <f>IF(Q7=Inputs!$E$13,1,0)</f>
        <v>0</v>
      </c>
      <c r="R9" s="1">
        <f>IF(R7=Inputs!$E$13,1,0)</f>
        <v>0</v>
      </c>
      <c r="S9" s="1">
        <f>IF(S7=Inputs!$E$13,1,0)</f>
        <v>0</v>
      </c>
      <c r="T9" s="1">
        <f>IF(T7=Inputs!$E$13,1,0)</f>
        <v>0</v>
      </c>
      <c r="U9" s="1">
        <f>IF(U7=Inputs!$E$13,1,0)</f>
        <v>0</v>
      </c>
      <c r="V9" s="1">
        <f>IF(V7=Inputs!$E$13,1,0)</f>
        <v>0</v>
      </c>
      <c r="W9" s="1">
        <f>IF(W7=Inputs!$E$13,1,0)</f>
        <v>0</v>
      </c>
      <c r="X9" s="1">
        <f>IF(X7=Inputs!$E$13,1,0)</f>
        <v>0</v>
      </c>
      <c r="Y9" s="1">
        <f>IF(Y7=Inputs!$E$13,1,0)</f>
        <v>0</v>
      </c>
      <c r="Z9" s="1">
        <f>IF(Z7=Inputs!$E$13,1,0)</f>
        <v>0</v>
      </c>
      <c r="AA9" s="1">
        <f>IF(AA7=Inputs!$E$13,1,0)</f>
        <v>0</v>
      </c>
      <c r="AB9" s="1">
        <f>IF(AB7=Inputs!$E$13,1,0)</f>
        <v>0</v>
      </c>
      <c r="AC9" s="1">
        <f>IF(AC7=Inputs!$E$13,1,0)</f>
        <v>0</v>
      </c>
      <c r="AD9" s="1">
        <f>IF(AD7=Inputs!$E$13,1,0)</f>
        <v>0</v>
      </c>
      <c r="AE9" s="1">
        <f>IF(AE7=Inputs!$E$13,1,0)</f>
        <v>0</v>
      </c>
      <c r="AF9" s="1">
        <f>IF(AF7=Inputs!$E$13,1,0)</f>
        <v>0</v>
      </c>
      <c r="AG9" s="1">
        <f>IF(AG7=Inputs!$E$13,1,0)</f>
        <v>0</v>
      </c>
      <c r="AH9" s="1">
        <f>IF(AH7=Inputs!$E$13,1,0)</f>
        <v>0</v>
      </c>
      <c r="AI9" s="1">
        <f>IF(AI7=Inputs!$E$13,1,0)</f>
        <v>0</v>
      </c>
      <c r="AJ9" s="1">
        <f>IF(AJ7=Inputs!$E$13,1,0)</f>
        <v>0</v>
      </c>
      <c r="AK9" s="1">
        <f>IF(AK7=Inputs!$E$13,1,0)</f>
        <v>0</v>
      </c>
      <c r="AL9" s="1">
        <f>IF(AL7=Inputs!$E$13,1,0)</f>
        <v>0</v>
      </c>
      <c r="AM9" s="1">
        <f>IF(AM7=Inputs!$E$13,1,0)</f>
        <v>0</v>
      </c>
      <c r="AN9" s="1">
        <f>IF(AN7=Inputs!$E$13,1,0)</f>
        <v>0</v>
      </c>
      <c r="AO9" s="1">
        <f>IF(AO7=Inputs!$E$13,1,0)</f>
        <v>0</v>
      </c>
      <c r="AP9" s="1">
        <f>IF(AP7=Inputs!$E$13,1,0)</f>
        <v>0</v>
      </c>
      <c r="AQ9" s="1">
        <f>IF(AQ7=Inputs!$E$13,1,0)</f>
        <v>0</v>
      </c>
      <c r="AR9" s="1">
        <f>IF(AR7=Inputs!$E$13,1,0)</f>
        <v>0</v>
      </c>
    </row>
    <row r="10" spans="1:44" hidden="1">
      <c r="B10" s="1" t="s">
        <v>208</v>
      </c>
      <c r="C10" s="22" t="s">
        <v>56</v>
      </c>
      <c r="F10" s="1">
        <f t="shared" ref="F10:I10" si="4">F7-$I$7+1</f>
        <v>-2</v>
      </c>
      <c r="G10" s="1">
        <f t="shared" si="4"/>
        <v>-1</v>
      </c>
      <c r="H10" s="1">
        <f t="shared" si="4"/>
        <v>0</v>
      </c>
      <c r="I10" s="1">
        <f t="shared" si="4"/>
        <v>1</v>
      </c>
      <c r="J10" s="1">
        <f>J7-$I$7+1</f>
        <v>2</v>
      </c>
      <c r="K10" s="1">
        <f t="shared" ref="K10:AR10" si="5">K7-$I$7+1</f>
        <v>3</v>
      </c>
      <c r="L10" s="1">
        <f t="shared" si="5"/>
        <v>4</v>
      </c>
      <c r="M10" s="1">
        <f t="shared" si="5"/>
        <v>5</v>
      </c>
      <c r="N10" s="1">
        <f t="shared" si="5"/>
        <v>6</v>
      </c>
      <c r="O10" s="1">
        <f t="shared" si="5"/>
        <v>7</v>
      </c>
      <c r="P10" s="1">
        <f t="shared" si="5"/>
        <v>8</v>
      </c>
      <c r="Q10" s="1">
        <f t="shared" si="5"/>
        <v>9</v>
      </c>
      <c r="R10" s="1">
        <f t="shared" si="5"/>
        <v>10</v>
      </c>
      <c r="S10" s="1">
        <f t="shared" si="5"/>
        <v>11</v>
      </c>
      <c r="T10" s="1">
        <f t="shared" si="5"/>
        <v>12</v>
      </c>
      <c r="U10" s="1">
        <f t="shared" si="5"/>
        <v>13</v>
      </c>
      <c r="V10" s="1">
        <f t="shared" si="5"/>
        <v>14</v>
      </c>
      <c r="W10" s="1">
        <f t="shared" si="5"/>
        <v>15</v>
      </c>
      <c r="X10" s="1">
        <f t="shared" si="5"/>
        <v>16</v>
      </c>
      <c r="Y10" s="1">
        <f t="shared" si="5"/>
        <v>17</v>
      </c>
      <c r="Z10" s="1">
        <f t="shared" si="5"/>
        <v>18</v>
      </c>
      <c r="AA10" s="1">
        <f t="shared" si="5"/>
        <v>19</v>
      </c>
      <c r="AB10" s="1">
        <f t="shared" si="5"/>
        <v>20</v>
      </c>
      <c r="AC10" s="1">
        <f t="shared" si="5"/>
        <v>21</v>
      </c>
      <c r="AD10" s="1">
        <f t="shared" si="5"/>
        <v>22</v>
      </c>
      <c r="AE10" s="1">
        <f t="shared" si="5"/>
        <v>23</v>
      </c>
      <c r="AF10" s="1">
        <f t="shared" si="5"/>
        <v>24</v>
      </c>
      <c r="AG10" s="1">
        <f t="shared" si="5"/>
        <v>25</v>
      </c>
      <c r="AH10" s="1">
        <f t="shared" si="5"/>
        <v>26</v>
      </c>
      <c r="AI10" s="1">
        <f t="shared" si="5"/>
        <v>27</v>
      </c>
      <c r="AJ10" s="1">
        <f t="shared" si="5"/>
        <v>28</v>
      </c>
      <c r="AK10" s="1">
        <f t="shared" si="5"/>
        <v>29</v>
      </c>
      <c r="AL10" s="1">
        <f t="shared" si="5"/>
        <v>30</v>
      </c>
      <c r="AM10" s="1">
        <f t="shared" si="5"/>
        <v>31</v>
      </c>
      <c r="AN10" s="1">
        <f t="shared" si="5"/>
        <v>32</v>
      </c>
      <c r="AO10" s="1">
        <f t="shared" si="5"/>
        <v>33</v>
      </c>
      <c r="AP10" s="1">
        <f t="shared" si="5"/>
        <v>34</v>
      </c>
      <c r="AQ10" s="1">
        <f t="shared" si="5"/>
        <v>35</v>
      </c>
      <c r="AR10" s="1">
        <f t="shared" si="5"/>
        <v>36</v>
      </c>
    </row>
    <row r="11" spans="1:44" hidden="1">
      <c r="B11" s="1" t="s">
        <v>209</v>
      </c>
      <c r="C11" s="22" t="s">
        <v>207</v>
      </c>
      <c r="F11" s="1">
        <f>IF(AND(F7&gt;=Inputs!$E$17,F7&lt;Inputs!$E$21),1,0)</f>
        <v>0</v>
      </c>
      <c r="G11" s="1">
        <f>IF(AND(G7&gt;=Inputs!$E$17,G7&lt;Inputs!$E$21),1,0)</f>
        <v>0</v>
      </c>
      <c r="H11" s="1">
        <f>IF(AND(H7&gt;=Inputs!$E$17,H7&lt;Inputs!$E$21),1,0)</f>
        <v>0</v>
      </c>
      <c r="I11" s="1">
        <f>IF(AND(I7&gt;=Inputs!$E$17,I7&lt;Inputs!$E$21),1,0)</f>
        <v>0</v>
      </c>
      <c r="J11" s="1">
        <f>IF(AND(J7&gt;=Inputs!$E$17,J7&lt;Inputs!$E$21),1,0)</f>
        <v>0</v>
      </c>
      <c r="K11" s="1">
        <f>IF(AND(K7&gt;=Inputs!$E$17,K7&lt;Inputs!$E$21),1,0)</f>
        <v>0</v>
      </c>
      <c r="L11" s="1">
        <f>IF(AND(L7&gt;=Inputs!$E$17,L7&lt;Inputs!$E$21),1,0)</f>
        <v>0</v>
      </c>
      <c r="M11" s="1">
        <f>IF(AND(M7&gt;=Inputs!$E$17,M7&lt;Inputs!$E$21),1,0)</f>
        <v>0</v>
      </c>
      <c r="N11" s="1">
        <f>IF(AND(N7&gt;=Inputs!$E$17,N7&lt;Inputs!$E$21),1,0)</f>
        <v>0</v>
      </c>
      <c r="O11" s="1">
        <f>IF(AND(O7&gt;=Inputs!$E$17,O7&lt;Inputs!$E$21),1,0)</f>
        <v>1</v>
      </c>
      <c r="P11" s="1">
        <f>IF(AND(P7&gt;=Inputs!$E$17,P7&lt;Inputs!$E$21),1,0)</f>
        <v>1</v>
      </c>
      <c r="Q11" s="1">
        <f>IF(AND(Q7&gt;=Inputs!$E$17,Q7&lt;Inputs!$E$21),1,0)</f>
        <v>1</v>
      </c>
      <c r="R11" s="1">
        <f>IF(AND(R7&gt;=Inputs!$E$17,R7&lt;Inputs!$E$21),1,0)</f>
        <v>1</v>
      </c>
      <c r="S11" s="1">
        <f>IF(AND(S7&gt;=Inputs!$E$17,S7&lt;Inputs!$E$21),1,0)</f>
        <v>1</v>
      </c>
      <c r="T11" s="1">
        <f>IF(AND(T7&gt;=Inputs!$E$17,T7&lt;Inputs!$E$21),1,0)</f>
        <v>1</v>
      </c>
      <c r="U11" s="1">
        <f>IF(AND(U7&gt;=Inputs!$E$17,U7&lt;Inputs!$E$21),1,0)</f>
        <v>1</v>
      </c>
      <c r="V11" s="1">
        <f>IF(AND(V7&gt;=Inputs!$E$17,V7&lt;Inputs!$E$21),1,0)</f>
        <v>1</v>
      </c>
      <c r="W11" s="1">
        <f>IF(AND(W7&gt;=Inputs!$E$17,W7&lt;Inputs!$E$21),1,0)</f>
        <v>1</v>
      </c>
      <c r="X11" s="1">
        <f>IF(AND(X7&gt;=Inputs!$E$17,X7&lt;Inputs!$E$21),1,0)</f>
        <v>1</v>
      </c>
      <c r="Y11" s="1">
        <f>IF(AND(Y7&gt;=Inputs!$E$17,Y7&lt;Inputs!$E$21),1,0)</f>
        <v>1</v>
      </c>
      <c r="Z11" s="1">
        <f>IF(AND(Z7&gt;=Inputs!$E$17,Z7&lt;Inputs!$E$21),1,0)</f>
        <v>1</v>
      </c>
      <c r="AA11" s="1">
        <f>IF(AND(AA7&gt;=Inputs!$E$17,AA7&lt;Inputs!$E$21),1,0)</f>
        <v>1</v>
      </c>
      <c r="AB11" s="1">
        <f>IF(AND(AB7&gt;=Inputs!$E$17,AB7&lt;Inputs!$E$21),1,0)</f>
        <v>1</v>
      </c>
      <c r="AC11" s="1">
        <f>IF(AND(AC7&gt;=Inputs!$E$17,AC7&lt;Inputs!$E$21),1,0)</f>
        <v>1</v>
      </c>
      <c r="AD11" s="1">
        <f>IF(AND(AD7&gt;=Inputs!$E$17,AD7&lt;Inputs!$E$21),1,0)</f>
        <v>1</v>
      </c>
      <c r="AE11" s="1">
        <f>IF(AND(AE7&gt;=Inputs!$E$17,AE7&lt;Inputs!$E$21),1,0)</f>
        <v>1</v>
      </c>
      <c r="AF11" s="1">
        <f>IF(AND(AF7&gt;=Inputs!$E$17,AF7&lt;Inputs!$E$21),1,0)</f>
        <v>1</v>
      </c>
      <c r="AG11" s="1">
        <f>IF(AND(AG7&gt;=Inputs!$E$17,AG7&lt;Inputs!$E$21),1,0)</f>
        <v>1</v>
      </c>
      <c r="AH11" s="1">
        <f>IF(AND(AH7&gt;=Inputs!$E$17,AH7&lt;Inputs!$E$21),1,0)</f>
        <v>1</v>
      </c>
      <c r="AI11" s="1">
        <f>IF(AND(AI7&gt;=Inputs!$E$17,AI7&lt;Inputs!$E$21),1,0)</f>
        <v>0</v>
      </c>
      <c r="AJ11" s="1">
        <f>IF(AND(AJ7&gt;=Inputs!$E$17,AJ7&lt;Inputs!$E$21),1,0)</f>
        <v>0</v>
      </c>
      <c r="AK11" s="1">
        <f>IF(AND(AK7&gt;=Inputs!$E$17,AK7&lt;Inputs!$E$21),1,0)</f>
        <v>0</v>
      </c>
      <c r="AL11" s="1">
        <f>IF(AND(AL7&gt;=Inputs!$E$17,AL7&lt;Inputs!$E$21),1,0)</f>
        <v>0</v>
      </c>
      <c r="AM11" s="1">
        <f>IF(AND(AM7&gt;=Inputs!$E$17,AM7&lt;Inputs!$E$21),1,0)</f>
        <v>0</v>
      </c>
      <c r="AN11" s="1">
        <f>IF(AND(AN7&gt;=Inputs!$E$17,AN7&lt;Inputs!$E$21),1,0)</f>
        <v>0</v>
      </c>
      <c r="AO11" s="1">
        <f>IF(AND(AO7&gt;=Inputs!$E$17,AO7&lt;Inputs!$E$21),1,0)</f>
        <v>0</v>
      </c>
      <c r="AP11" s="1">
        <f>IF(AND(AP7&gt;=Inputs!$E$17,AP7&lt;Inputs!$E$21),1,0)</f>
        <v>0</v>
      </c>
      <c r="AQ11" s="1">
        <f>IF(AND(AQ7&gt;=Inputs!$E$17,AQ7&lt;Inputs!$E$21),1,0)</f>
        <v>0</v>
      </c>
      <c r="AR11" s="1">
        <f>IF(AND(AR7&gt;=Inputs!$E$17,AR7&lt;Inputs!$E$21),1,0)</f>
        <v>0</v>
      </c>
    </row>
    <row r="12" spans="1:44" ht="15">
      <c r="A12" s="2" t="s">
        <v>210</v>
      </c>
      <c r="C12" s="22"/>
    </row>
    <row r="13" spans="1:44">
      <c r="B13" s="1" t="s">
        <v>211</v>
      </c>
      <c r="C13" s="22" t="s">
        <v>49</v>
      </c>
      <c r="F13" s="1">
        <f>(F11+D13)*F11</f>
        <v>0</v>
      </c>
      <c r="G13" s="1">
        <f t="shared" ref="G13:AG13" si="6">(G11+F13)*G11</f>
        <v>0</v>
      </c>
      <c r="H13" s="1">
        <f t="shared" si="6"/>
        <v>0</v>
      </c>
      <c r="I13" s="1">
        <f t="shared" si="6"/>
        <v>0</v>
      </c>
      <c r="J13" s="1">
        <f t="shared" si="6"/>
        <v>0</v>
      </c>
      <c r="K13" s="1">
        <f t="shared" si="6"/>
        <v>0</v>
      </c>
      <c r="L13" s="1">
        <f t="shared" si="6"/>
        <v>0</v>
      </c>
      <c r="M13" s="1">
        <f t="shared" si="6"/>
        <v>0</v>
      </c>
      <c r="N13" s="1">
        <f t="shared" si="6"/>
        <v>0</v>
      </c>
      <c r="O13" s="1">
        <f t="shared" si="6"/>
        <v>1</v>
      </c>
      <c r="P13" s="1">
        <f t="shared" si="6"/>
        <v>2</v>
      </c>
      <c r="Q13" s="1">
        <f t="shared" si="6"/>
        <v>3</v>
      </c>
      <c r="R13" s="1">
        <f t="shared" si="6"/>
        <v>4</v>
      </c>
      <c r="S13" s="1">
        <f t="shared" si="6"/>
        <v>5</v>
      </c>
      <c r="T13" s="1">
        <f t="shared" si="6"/>
        <v>6</v>
      </c>
      <c r="U13" s="1">
        <f t="shared" si="6"/>
        <v>7</v>
      </c>
      <c r="V13" s="1">
        <f t="shared" si="6"/>
        <v>8</v>
      </c>
      <c r="W13" s="1">
        <f t="shared" si="6"/>
        <v>9</v>
      </c>
      <c r="X13" s="1">
        <f t="shared" si="6"/>
        <v>10</v>
      </c>
      <c r="Y13" s="1">
        <f t="shared" si="6"/>
        <v>11</v>
      </c>
      <c r="Z13" s="1">
        <f t="shared" si="6"/>
        <v>12</v>
      </c>
      <c r="AA13" s="1">
        <f t="shared" si="6"/>
        <v>13</v>
      </c>
      <c r="AB13" s="1">
        <f t="shared" si="6"/>
        <v>14</v>
      </c>
      <c r="AC13" s="1">
        <f t="shared" si="6"/>
        <v>15</v>
      </c>
      <c r="AD13" s="1">
        <f t="shared" si="6"/>
        <v>16</v>
      </c>
      <c r="AE13" s="1">
        <f t="shared" si="6"/>
        <v>17</v>
      </c>
      <c r="AF13" s="1">
        <f t="shared" si="6"/>
        <v>18</v>
      </c>
      <c r="AG13" s="1">
        <f t="shared" si="6"/>
        <v>19</v>
      </c>
      <c r="AH13" s="1">
        <f>(AH11+AG13)*AH11</f>
        <v>20</v>
      </c>
      <c r="AI13" s="1">
        <f t="shared" ref="AI13:AR13" si="7">(AI11+AH13)*AI11</f>
        <v>0</v>
      </c>
      <c r="AJ13" s="1">
        <f t="shared" si="7"/>
        <v>0</v>
      </c>
      <c r="AK13" s="1">
        <f t="shared" si="7"/>
        <v>0</v>
      </c>
      <c r="AL13" s="1">
        <f t="shared" si="7"/>
        <v>0</v>
      </c>
      <c r="AM13" s="1">
        <f t="shared" si="7"/>
        <v>0</v>
      </c>
      <c r="AN13" s="1">
        <f t="shared" si="7"/>
        <v>0</v>
      </c>
      <c r="AO13" s="1">
        <f t="shared" si="7"/>
        <v>0</v>
      </c>
      <c r="AP13" s="1">
        <f t="shared" si="7"/>
        <v>0</v>
      </c>
      <c r="AQ13" s="1">
        <f t="shared" si="7"/>
        <v>0</v>
      </c>
      <c r="AR13" s="1">
        <f t="shared" si="7"/>
        <v>0</v>
      </c>
    </row>
    <row r="14" spans="1:44" ht="15">
      <c r="A14" s="2" t="s">
        <v>9</v>
      </c>
      <c r="C14" s="22"/>
    </row>
    <row r="15" spans="1:44">
      <c r="B15" s="1" t="s">
        <v>65</v>
      </c>
      <c r="C15" s="22" t="s">
        <v>49</v>
      </c>
      <c r="D15" s="73">
        <f>Inputs!E24</f>
        <v>0</v>
      </c>
      <c r="E15" s="73"/>
      <c r="F15" s="3">
        <f>1/(1+$D15)^(F$10-1)</f>
        <v>1</v>
      </c>
      <c r="G15" s="3">
        <f t="shared" ref="G15:AR15" si="8">1/(1+$D15)^(G$10-1)</f>
        <v>1</v>
      </c>
      <c r="H15" s="3">
        <f t="shared" si="8"/>
        <v>1</v>
      </c>
      <c r="I15" s="3">
        <f t="shared" si="8"/>
        <v>1</v>
      </c>
      <c r="J15" s="3">
        <f t="shared" si="8"/>
        <v>1</v>
      </c>
      <c r="K15" s="3">
        <f t="shared" si="8"/>
        <v>1</v>
      </c>
      <c r="L15" s="3">
        <f t="shared" si="8"/>
        <v>1</v>
      </c>
      <c r="M15" s="3">
        <f t="shared" si="8"/>
        <v>1</v>
      </c>
      <c r="N15" s="3">
        <f t="shared" si="8"/>
        <v>1</v>
      </c>
      <c r="O15" s="3">
        <f t="shared" si="8"/>
        <v>1</v>
      </c>
      <c r="P15" s="3">
        <f t="shared" si="8"/>
        <v>1</v>
      </c>
      <c r="Q15" s="3">
        <f t="shared" si="8"/>
        <v>1</v>
      </c>
      <c r="R15" s="3">
        <f t="shared" si="8"/>
        <v>1</v>
      </c>
      <c r="S15" s="3">
        <f t="shared" si="8"/>
        <v>1</v>
      </c>
      <c r="T15" s="3">
        <f t="shared" si="8"/>
        <v>1</v>
      </c>
      <c r="U15" s="3">
        <f t="shared" si="8"/>
        <v>1</v>
      </c>
      <c r="V15" s="3">
        <f t="shared" si="8"/>
        <v>1</v>
      </c>
      <c r="W15" s="3">
        <f t="shared" si="8"/>
        <v>1</v>
      </c>
      <c r="X15" s="3">
        <f t="shared" si="8"/>
        <v>1</v>
      </c>
      <c r="Y15" s="3">
        <f t="shared" si="8"/>
        <v>1</v>
      </c>
      <c r="Z15" s="3">
        <f t="shared" si="8"/>
        <v>1</v>
      </c>
      <c r="AA15" s="3">
        <f t="shared" si="8"/>
        <v>1</v>
      </c>
      <c r="AB15" s="3">
        <f t="shared" si="8"/>
        <v>1</v>
      </c>
      <c r="AC15" s="3">
        <f t="shared" si="8"/>
        <v>1</v>
      </c>
      <c r="AD15" s="3">
        <f t="shared" si="8"/>
        <v>1</v>
      </c>
      <c r="AE15" s="3">
        <f t="shared" si="8"/>
        <v>1</v>
      </c>
      <c r="AF15" s="3">
        <f t="shared" si="8"/>
        <v>1</v>
      </c>
      <c r="AG15" s="3">
        <f t="shared" si="8"/>
        <v>1</v>
      </c>
      <c r="AH15" s="3">
        <f t="shared" si="8"/>
        <v>1</v>
      </c>
      <c r="AI15" s="3">
        <f t="shared" si="8"/>
        <v>1</v>
      </c>
      <c r="AJ15" s="3">
        <f t="shared" si="8"/>
        <v>1</v>
      </c>
      <c r="AK15" s="3">
        <f t="shared" si="8"/>
        <v>1</v>
      </c>
      <c r="AL15" s="3">
        <f t="shared" si="8"/>
        <v>1</v>
      </c>
      <c r="AM15" s="3">
        <f t="shared" si="8"/>
        <v>1</v>
      </c>
      <c r="AN15" s="3">
        <f t="shared" si="8"/>
        <v>1</v>
      </c>
      <c r="AO15" s="3">
        <f t="shared" si="8"/>
        <v>1</v>
      </c>
      <c r="AP15" s="3">
        <f t="shared" si="8"/>
        <v>1</v>
      </c>
      <c r="AQ15" s="3">
        <f t="shared" si="8"/>
        <v>1</v>
      </c>
      <c r="AR15" s="3">
        <f t="shared" si="8"/>
        <v>1</v>
      </c>
    </row>
    <row r="16" spans="1:44">
      <c r="B16" s="1" t="s">
        <v>67</v>
      </c>
      <c r="C16" s="22" t="s">
        <v>49</v>
      </c>
      <c r="D16" s="73">
        <f>Inputs!E25</f>
        <v>0.03</v>
      </c>
      <c r="E16" s="73"/>
      <c r="F16" s="3">
        <f t="shared" ref="F16:H16" si="9">MIN(1,IF(F10=0,1,1/(1+$D16)^(F$10-1)))</f>
        <v>1</v>
      </c>
      <c r="G16" s="3">
        <f t="shared" si="9"/>
        <v>1</v>
      </c>
      <c r="H16" s="3">
        <f t="shared" si="9"/>
        <v>1</v>
      </c>
      <c r="I16" s="3">
        <f>MIN(1,IF(I10=0,1,1/(1+$D16)^(I$10-1)))</f>
        <v>1</v>
      </c>
      <c r="J16" s="3">
        <f t="shared" ref="J16:AR16" si="10">MIN(1,IF(J10=0,1,1/(1+$D16)^(J$10-1)))</f>
        <v>0.970873786407767</v>
      </c>
      <c r="K16" s="3">
        <f t="shared" si="10"/>
        <v>0.94259590913375435</v>
      </c>
      <c r="L16" s="3">
        <f t="shared" si="10"/>
        <v>0.91514165935315961</v>
      </c>
      <c r="M16" s="3">
        <f t="shared" si="10"/>
        <v>0.888487047915689</v>
      </c>
      <c r="N16" s="3">
        <f t="shared" si="10"/>
        <v>0.86260878438416411</v>
      </c>
      <c r="O16" s="3">
        <f t="shared" si="10"/>
        <v>0.83748425668365445</v>
      </c>
      <c r="P16" s="3">
        <f t="shared" si="10"/>
        <v>0.81309151134335378</v>
      </c>
      <c r="Q16" s="3">
        <f t="shared" si="10"/>
        <v>0.78940923431393573</v>
      </c>
      <c r="R16" s="3">
        <f t="shared" si="10"/>
        <v>0.76641673234362695</v>
      </c>
      <c r="S16" s="3">
        <f t="shared" si="10"/>
        <v>0.74409391489672516</v>
      </c>
      <c r="T16" s="3">
        <f t="shared" si="10"/>
        <v>0.72242127659876232</v>
      </c>
      <c r="U16" s="3">
        <f t="shared" si="10"/>
        <v>0.70137988019297326</v>
      </c>
      <c r="V16" s="3">
        <f t="shared" si="10"/>
        <v>0.68095133999317792</v>
      </c>
      <c r="W16" s="3">
        <f t="shared" si="10"/>
        <v>0.66111780581861923</v>
      </c>
      <c r="X16" s="3">
        <f t="shared" si="10"/>
        <v>0.64186194739671765</v>
      </c>
      <c r="Y16" s="3">
        <f t="shared" si="10"/>
        <v>0.62316693922011435</v>
      </c>
      <c r="Z16" s="3">
        <f t="shared" si="10"/>
        <v>0.60501644584477121</v>
      </c>
      <c r="AA16" s="3">
        <f t="shared" si="10"/>
        <v>0.5873946076162827</v>
      </c>
      <c r="AB16" s="3">
        <f t="shared" si="10"/>
        <v>0.57028602681192497</v>
      </c>
      <c r="AC16" s="3">
        <f t="shared" si="10"/>
        <v>0.55367575418633497</v>
      </c>
      <c r="AD16" s="3">
        <f t="shared" si="10"/>
        <v>0.5375492759090631</v>
      </c>
      <c r="AE16" s="3">
        <f t="shared" si="10"/>
        <v>0.52189250088258554</v>
      </c>
      <c r="AF16" s="3">
        <f t="shared" si="10"/>
        <v>0.50669174842969467</v>
      </c>
      <c r="AG16" s="3">
        <f t="shared" si="10"/>
        <v>0.49193373633950943</v>
      </c>
      <c r="AH16" s="3">
        <f t="shared" si="10"/>
        <v>0.47760556926165965</v>
      </c>
      <c r="AI16" s="3">
        <f t="shared" si="10"/>
        <v>0.46369472743850448</v>
      </c>
      <c r="AJ16" s="3">
        <f t="shared" si="10"/>
        <v>0.45018905576553836</v>
      </c>
      <c r="AK16" s="3">
        <f t="shared" si="10"/>
        <v>0.4370767531704256</v>
      </c>
      <c r="AL16" s="3">
        <f t="shared" si="10"/>
        <v>0.42434636230138412</v>
      </c>
      <c r="AM16" s="3">
        <f t="shared" si="10"/>
        <v>0.41198675951590691</v>
      </c>
      <c r="AN16" s="3">
        <f t="shared" si="10"/>
        <v>0.39998714516107459</v>
      </c>
      <c r="AO16" s="3">
        <f t="shared" si="10"/>
        <v>0.38833703413696569</v>
      </c>
      <c r="AP16" s="3">
        <f t="shared" si="10"/>
        <v>0.37702624673491814</v>
      </c>
      <c r="AQ16" s="3">
        <f t="shared" si="10"/>
        <v>0.36604489974263904</v>
      </c>
      <c r="AR16" s="3">
        <f t="shared" si="10"/>
        <v>0.35538339780838735</v>
      </c>
    </row>
    <row r="17" spans="1:44">
      <c r="B17" s="1" t="s">
        <v>68</v>
      </c>
      <c r="C17" s="22" t="s">
        <v>49</v>
      </c>
      <c r="D17" s="73">
        <f>Inputs!E26</f>
        <v>7.0000000000000007E-2</v>
      </c>
      <c r="E17" s="73"/>
      <c r="F17" s="3">
        <f t="shared" ref="F17:G17" si="11">MIN(1,IF(F10=0,1,1/(1+$D17)^(F$10-1)))</f>
        <v>1</v>
      </c>
      <c r="G17" s="3">
        <f t="shared" si="11"/>
        <v>1</v>
      </c>
      <c r="H17" s="3">
        <f>MIN(1,IF(H10=0,1,1/(1+$D17)^(H$10-1)))</f>
        <v>1</v>
      </c>
      <c r="I17" s="3">
        <f t="shared" ref="I17:AR17" si="12">MIN(1,IF(I10=0,1,1/(1+$D17)^(I$10-1)))</f>
        <v>1</v>
      </c>
      <c r="J17" s="3">
        <f t="shared" si="12"/>
        <v>0.93457943925233644</v>
      </c>
      <c r="K17" s="3">
        <f t="shared" si="12"/>
        <v>0.87343872827321156</v>
      </c>
      <c r="L17" s="3">
        <f t="shared" si="12"/>
        <v>0.81629787689085187</v>
      </c>
      <c r="M17" s="3">
        <f t="shared" si="12"/>
        <v>0.7628952120475252</v>
      </c>
      <c r="N17" s="3">
        <f t="shared" si="12"/>
        <v>0.71298617948366838</v>
      </c>
      <c r="O17" s="3">
        <f t="shared" si="12"/>
        <v>0.66634222381651254</v>
      </c>
      <c r="P17" s="3">
        <f t="shared" si="12"/>
        <v>0.62274974188459109</v>
      </c>
      <c r="Q17" s="3">
        <f t="shared" si="12"/>
        <v>0.5820091045650384</v>
      </c>
      <c r="R17" s="3">
        <f t="shared" si="12"/>
        <v>0.54393374258414806</v>
      </c>
      <c r="S17" s="3">
        <f t="shared" si="12"/>
        <v>0.5083492921347178</v>
      </c>
      <c r="T17" s="3">
        <f t="shared" si="12"/>
        <v>0.47509279638758667</v>
      </c>
      <c r="U17" s="3">
        <f t="shared" si="12"/>
        <v>0.44401195924073528</v>
      </c>
      <c r="V17" s="3">
        <f t="shared" si="12"/>
        <v>0.41496444788853759</v>
      </c>
      <c r="W17" s="3">
        <f t="shared" si="12"/>
        <v>0.3878172410173249</v>
      </c>
      <c r="X17" s="3">
        <f t="shared" si="12"/>
        <v>0.36244601964235967</v>
      </c>
      <c r="Y17" s="3">
        <f t="shared" si="12"/>
        <v>0.33873459779659787</v>
      </c>
      <c r="Z17" s="3">
        <f t="shared" si="12"/>
        <v>0.31657439046411018</v>
      </c>
      <c r="AA17" s="3">
        <f t="shared" si="12"/>
        <v>0.29586391632159825</v>
      </c>
      <c r="AB17" s="3">
        <f t="shared" si="12"/>
        <v>0.27650833301083949</v>
      </c>
      <c r="AC17" s="3">
        <f t="shared" si="12"/>
        <v>0.2584190028138687</v>
      </c>
      <c r="AD17" s="3">
        <f t="shared" si="12"/>
        <v>0.24151308674193336</v>
      </c>
      <c r="AE17" s="3">
        <f t="shared" si="12"/>
        <v>0.22571316517937698</v>
      </c>
      <c r="AF17" s="3">
        <f t="shared" si="12"/>
        <v>0.21094688334521211</v>
      </c>
      <c r="AG17" s="3">
        <f t="shared" si="12"/>
        <v>0.19714661994879637</v>
      </c>
      <c r="AH17" s="3">
        <f t="shared" si="12"/>
        <v>0.18424917752223957</v>
      </c>
      <c r="AI17" s="3">
        <f t="shared" si="12"/>
        <v>0.17219549301143888</v>
      </c>
      <c r="AJ17" s="3">
        <f t="shared" si="12"/>
        <v>0.16093036730041013</v>
      </c>
      <c r="AK17" s="3">
        <f t="shared" si="12"/>
        <v>0.15040221243028987</v>
      </c>
      <c r="AL17" s="3">
        <f t="shared" si="12"/>
        <v>0.1405628153554111</v>
      </c>
      <c r="AM17" s="3">
        <f t="shared" si="12"/>
        <v>0.13136711715458982</v>
      </c>
      <c r="AN17" s="3">
        <f t="shared" si="12"/>
        <v>0.1227730066865325</v>
      </c>
      <c r="AO17" s="3">
        <f t="shared" si="12"/>
        <v>0.11474112774442291</v>
      </c>
      <c r="AP17" s="3">
        <f t="shared" si="12"/>
        <v>0.10723469882656347</v>
      </c>
      <c r="AQ17" s="3">
        <f t="shared" si="12"/>
        <v>0.10021934469772288</v>
      </c>
      <c r="AR17" s="3">
        <f t="shared" si="12"/>
        <v>9.366293896983445E-2</v>
      </c>
    </row>
    <row r="19" spans="1:44">
      <c r="B19" s="1" t="s">
        <v>212</v>
      </c>
      <c r="C19" s="1" t="s">
        <v>43</v>
      </c>
      <c r="D19" s="1" t="s">
        <v>44</v>
      </c>
    </row>
    <row r="20" spans="1:44" s="9" customFormat="1">
      <c r="A20" s="8" t="s">
        <v>213</v>
      </c>
    </row>
    <row r="21" spans="1:44" ht="15">
      <c r="A21" s="2" t="s">
        <v>221</v>
      </c>
    </row>
    <row r="22" spans="1:44">
      <c r="B22" s="68" t="s">
        <v>18</v>
      </c>
      <c r="C22" s="95" t="s">
        <v>80</v>
      </c>
      <c r="D22" s="96">
        <f>SUM(F22:AR22)</f>
        <v>0</v>
      </c>
      <c r="E22" s="68"/>
      <c r="F22" s="97">
        <f>IF(F7=Inputs!$E$21,Inputs!$E$40,0)</f>
        <v>0</v>
      </c>
      <c r="G22" s="97">
        <f>IF(G7=Inputs!$E$21,Inputs!$E$40,0)</f>
        <v>0</v>
      </c>
      <c r="H22" s="97">
        <f>IF(H7=Inputs!$E$21,Inputs!$E$40,0)</f>
        <v>0</v>
      </c>
      <c r="I22" s="97">
        <f>IF(I7=Inputs!$E$21,Inputs!$E$40,0)</f>
        <v>0</v>
      </c>
      <c r="J22" s="97">
        <f>IF(J7=Inputs!$E$21,Inputs!$E$40,0)</f>
        <v>0</v>
      </c>
      <c r="K22" s="97">
        <f>IF(K7=Inputs!$E$21,Inputs!$E$40,0)</f>
        <v>0</v>
      </c>
      <c r="L22" s="97">
        <f>IF(L7=Inputs!$E$21,Inputs!$E$40,0)</f>
        <v>0</v>
      </c>
      <c r="M22" s="97">
        <f>IF(M7=Inputs!$E$21,Inputs!$E$40,0)</f>
        <v>0</v>
      </c>
      <c r="N22" s="97">
        <f>IF(N7=Inputs!$E$21,Inputs!$E$40,0)</f>
        <v>0</v>
      </c>
      <c r="O22" s="97">
        <f>IF(O7=Inputs!$E$21,Inputs!$E$40,0)</f>
        <v>0</v>
      </c>
      <c r="P22" s="97">
        <f>IF(P7=Inputs!$E$21,Inputs!$E$40,0)</f>
        <v>0</v>
      </c>
      <c r="Q22" s="97">
        <f>IF(Q7=Inputs!$E$21,Inputs!$E$40,0)</f>
        <v>0</v>
      </c>
      <c r="R22" s="97">
        <f>IF(R7=Inputs!$E$21,Inputs!$E$40,0)</f>
        <v>0</v>
      </c>
      <c r="S22" s="97">
        <f>IF(S7=Inputs!$E$21,Inputs!$E$40,0)</f>
        <v>0</v>
      </c>
      <c r="T22" s="97">
        <f>IF(T7=Inputs!$E$21,Inputs!$E$40,0)</f>
        <v>0</v>
      </c>
      <c r="U22" s="97">
        <f>IF(U7=Inputs!$E$21,Inputs!$E$40,0)</f>
        <v>0</v>
      </c>
      <c r="V22" s="97">
        <f>IF(V7=Inputs!$E$21,Inputs!$E$40,0)</f>
        <v>0</v>
      </c>
      <c r="W22" s="97">
        <f>IF(W7=Inputs!$E$21,Inputs!$E$40,0)</f>
        <v>0</v>
      </c>
      <c r="X22" s="97">
        <f>IF(X7=Inputs!$E$21,Inputs!$E$40,0)</f>
        <v>0</v>
      </c>
      <c r="Y22" s="97">
        <f>IF(Y7=Inputs!$E$21,Inputs!$E$40,0)</f>
        <v>0</v>
      </c>
      <c r="Z22" s="97">
        <f>IF(Z7=Inputs!$E$21,Inputs!$E$40,0)</f>
        <v>0</v>
      </c>
      <c r="AA22" s="97">
        <f>IF(AA7=Inputs!$E$21,Inputs!$E$40,0)</f>
        <v>0</v>
      </c>
      <c r="AB22" s="97">
        <f>IF(AB7=Inputs!$E$21,Inputs!$E$40,0)</f>
        <v>0</v>
      </c>
      <c r="AC22" s="97">
        <f>IF(AC7=Inputs!$E$21,Inputs!$E$40,0)</f>
        <v>0</v>
      </c>
      <c r="AD22" s="97">
        <f>IF(AD7=Inputs!$E$21,Inputs!$E$40,0)</f>
        <v>0</v>
      </c>
      <c r="AE22" s="97">
        <f>IF(AE7=Inputs!$E$21,Inputs!$E$40,0)</f>
        <v>0</v>
      </c>
      <c r="AF22" s="97">
        <f>IF(AF7=Inputs!$E$21,Inputs!$E$40,0)</f>
        <v>0</v>
      </c>
      <c r="AG22" s="97">
        <f>IF(AG7=Inputs!$E$21,Inputs!$E$40,0)</f>
        <v>0</v>
      </c>
      <c r="AH22" s="97">
        <f>IF(AH7=Inputs!$E$21,Inputs!$E$40,0)</f>
        <v>0</v>
      </c>
      <c r="AI22" s="97">
        <f>IF(AI7=Inputs!$E$21,Inputs!$E$40,0)</f>
        <v>0</v>
      </c>
      <c r="AJ22" s="97">
        <f>IF(AJ7=Inputs!$E$21,Inputs!$E$40,0)</f>
        <v>0</v>
      </c>
      <c r="AK22" s="97">
        <f>IF(AK7=Inputs!$E$21,Inputs!$E$40,0)</f>
        <v>0</v>
      </c>
      <c r="AL22" s="97">
        <f>IF(AL7=Inputs!$E$21,Inputs!$E$40,0)</f>
        <v>0</v>
      </c>
      <c r="AM22" s="97">
        <f>IF(AM7=Inputs!$E$21,Inputs!$E$40,0)</f>
        <v>0</v>
      </c>
      <c r="AN22" s="97">
        <f>IF(AN7=Inputs!$E$21,Inputs!$E$40,0)</f>
        <v>0</v>
      </c>
      <c r="AO22" s="97">
        <f>IF(AO7=Inputs!$E$21,Inputs!$E$40,0)</f>
        <v>0</v>
      </c>
      <c r="AP22" s="97">
        <f>IF(AP7=Inputs!$E$21,Inputs!$E$40,0)</f>
        <v>0</v>
      </c>
      <c r="AQ22" s="97">
        <f>IF(AQ7=Inputs!$E$21,Inputs!$E$40,0)</f>
        <v>0</v>
      </c>
      <c r="AR22" s="97">
        <f>IF(AR7=Inputs!$E$21,Inputs!$E$40,0)</f>
        <v>0</v>
      </c>
    </row>
    <row r="23" spans="1:44">
      <c r="B23" s="1" t="s">
        <v>219</v>
      </c>
      <c r="C23" s="87" t="s">
        <v>80</v>
      </c>
      <c r="D23" s="86">
        <f>SUM(F23:AR23)</f>
        <v>0</v>
      </c>
      <c r="F23" s="19">
        <f t="shared" ref="F23:AR23" si="13">SUM(F22:F22)</f>
        <v>0</v>
      </c>
      <c r="G23" s="19">
        <f t="shared" si="13"/>
        <v>0</v>
      </c>
      <c r="H23" s="19">
        <f t="shared" si="13"/>
        <v>0</v>
      </c>
      <c r="I23" s="19">
        <f t="shared" si="13"/>
        <v>0</v>
      </c>
      <c r="J23" s="19">
        <f t="shared" si="13"/>
        <v>0</v>
      </c>
      <c r="K23" s="19">
        <f t="shared" si="13"/>
        <v>0</v>
      </c>
      <c r="L23" s="19">
        <f t="shared" si="13"/>
        <v>0</v>
      </c>
      <c r="M23" s="19">
        <f t="shared" si="13"/>
        <v>0</v>
      </c>
      <c r="N23" s="19">
        <f t="shared" si="13"/>
        <v>0</v>
      </c>
      <c r="O23" s="19">
        <f t="shared" si="13"/>
        <v>0</v>
      </c>
      <c r="P23" s="19">
        <f t="shared" si="13"/>
        <v>0</v>
      </c>
      <c r="Q23" s="19">
        <f t="shared" si="13"/>
        <v>0</v>
      </c>
      <c r="R23" s="19">
        <f t="shared" si="13"/>
        <v>0</v>
      </c>
      <c r="S23" s="19">
        <f t="shared" si="13"/>
        <v>0</v>
      </c>
      <c r="T23" s="19">
        <f t="shared" si="13"/>
        <v>0</v>
      </c>
      <c r="U23" s="19">
        <f t="shared" si="13"/>
        <v>0</v>
      </c>
      <c r="V23" s="19">
        <f t="shared" si="13"/>
        <v>0</v>
      </c>
      <c r="W23" s="19">
        <f t="shared" si="13"/>
        <v>0</v>
      </c>
      <c r="X23" s="19">
        <f t="shared" si="13"/>
        <v>0</v>
      </c>
      <c r="Y23" s="19">
        <f t="shared" si="13"/>
        <v>0</v>
      </c>
      <c r="Z23" s="19">
        <f t="shared" si="13"/>
        <v>0</v>
      </c>
      <c r="AA23" s="19">
        <f t="shared" si="13"/>
        <v>0</v>
      </c>
      <c r="AB23" s="19">
        <f t="shared" si="13"/>
        <v>0</v>
      </c>
      <c r="AC23" s="19">
        <f t="shared" si="13"/>
        <v>0</v>
      </c>
      <c r="AD23" s="19">
        <f t="shared" si="13"/>
        <v>0</v>
      </c>
      <c r="AE23" s="19">
        <f t="shared" si="13"/>
        <v>0</v>
      </c>
      <c r="AF23" s="19">
        <f t="shared" si="13"/>
        <v>0</v>
      </c>
      <c r="AG23" s="19">
        <f t="shared" si="13"/>
        <v>0</v>
      </c>
      <c r="AH23" s="19">
        <f t="shared" si="13"/>
        <v>0</v>
      </c>
      <c r="AI23" s="19">
        <f t="shared" si="13"/>
        <v>0</v>
      </c>
      <c r="AJ23" s="19">
        <f t="shared" si="13"/>
        <v>0</v>
      </c>
      <c r="AK23" s="19">
        <f t="shared" si="13"/>
        <v>0</v>
      </c>
      <c r="AL23" s="19">
        <f t="shared" si="13"/>
        <v>0</v>
      </c>
      <c r="AM23" s="19">
        <f t="shared" si="13"/>
        <v>0</v>
      </c>
      <c r="AN23" s="19">
        <f t="shared" si="13"/>
        <v>0</v>
      </c>
      <c r="AO23" s="19">
        <f t="shared" si="13"/>
        <v>0</v>
      </c>
      <c r="AP23" s="19">
        <f t="shared" si="13"/>
        <v>0</v>
      </c>
      <c r="AQ23" s="19">
        <f t="shared" si="13"/>
        <v>0</v>
      </c>
      <c r="AR23" s="19">
        <f t="shared" si="13"/>
        <v>0</v>
      </c>
    </row>
    <row r="24" spans="1:44">
      <c r="C24" s="12"/>
    </row>
    <row r="25" spans="1:44" ht="15">
      <c r="A25" s="2" t="s">
        <v>220</v>
      </c>
      <c r="C25" s="12"/>
    </row>
    <row r="26" spans="1:44">
      <c r="B26" s="1" t="s">
        <v>221</v>
      </c>
      <c r="C26" s="87" t="s">
        <v>80</v>
      </c>
      <c r="D26" s="86">
        <f>SUM(F26:AR26)</f>
        <v>0</v>
      </c>
      <c r="E26" s="19"/>
      <c r="F26" s="19">
        <f>F23*F$15</f>
        <v>0</v>
      </c>
      <c r="G26" s="19">
        <f t="shared" ref="G26:AR26" si="14">G23*G$15</f>
        <v>0</v>
      </c>
      <c r="H26" s="19">
        <f t="shared" si="14"/>
        <v>0</v>
      </c>
      <c r="I26" s="19">
        <f t="shared" si="14"/>
        <v>0</v>
      </c>
      <c r="J26" s="19">
        <f t="shared" si="14"/>
        <v>0</v>
      </c>
      <c r="K26" s="19">
        <f t="shared" si="14"/>
        <v>0</v>
      </c>
      <c r="L26" s="19">
        <f t="shared" si="14"/>
        <v>0</v>
      </c>
      <c r="M26" s="19">
        <f t="shared" si="14"/>
        <v>0</v>
      </c>
      <c r="N26" s="19">
        <f t="shared" si="14"/>
        <v>0</v>
      </c>
      <c r="O26" s="19">
        <f t="shared" si="14"/>
        <v>0</v>
      </c>
      <c r="P26" s="19">
        <f t="shared" si="14"/>
        <v>0</v>
      </c>
      <c r="Q26" s="19">
        <f t="shared" si="14"/>
        <v>0</v>
      </c>
      <c r="R26" s="19">
        <f t="shared" si="14"/>
        <v>0</v>
      </c>
      <c r="S26" s="19">
        <f t="shared" si="14"/>
        <v>0</v>
      </c>
      <c r="T26" s="19">
        <f t="shared" si="14"/>
        <v>0</v>
      </c>
      <c r="U26" s="19">
        <f t="shared" si="14"/>
        <v>0</v>
      </c>
      <c r="V26" s="19">
        <f t="shared" si="14"/>
        <v>0</v>
      </c>
      <c r="W26" s="19">
        <f t="shared" si="14"/>
        <v>0</v>
      </c>
      <c r="X26" s="19">
        <f t="shared" si="14"/>
        <v>0</v>
      </c>
      <c r="Y26" s="19">
        <f t="shared" si="14"/>
        <v>0</v>
      </c>
      <c r="Z26" s="19">
        <f t="shared" si="14"/>
        <v>0</v>
      </c>
      <c r="AA26" s="19">
        <f t="shared" si="14"/>
        <v>0</v>
      </c>
      <c r="AB26" s="19">
        <f t="shared" si="14"/>
        <v>0</v>
      </c>
      <c r="AC26" s="19">
        <f t="shared" si="14"/>
        <v>0</v>
      </c>
      <c r="AD26" s="19">
        <f t="shared" si="14"/>
        <v>0</v>
      </c>
      <c r="AE26" s="19">
        <f t="shared" si="14"/>
        <v>0</v>
      </c>
      <c r="AF26" s="19">
        <f t="shared" si="14"/>
        <v>0</v>
      </c>
      <c r="AG26" s="19">
        <f t="shared" si="14"/>
        <v>0</v>
      </c>
      <c r="AH26" s="19">
        <f t="shared" si="14"/>
        <v>0</v>
      </c>
      <c r="AI26" s="19">
        <f t="shared" si="14"/>
        <v>0</v>
      </c>
      <c r="AJ26" s="19">
        <f t="shared" si="14"/>
        <v>0</v>
      </c>
      <c r="AK26" s="19">
        <f t="shared" si="14"/>
        <v>0</v>
      </c>
      <c r="AL26" s="19">
        <f t="shared" si="14"/>
        <v>0</v>
      </c>
      <c r="AM26" s="19">
        <f t="shared" si="14"/>
        <v>0</v>
      </c>
      <c r="AN26" s="19">
        <f t="shared" si="14"/>
        <v>0</v>
      </c>
      <c r="AO26" s="19">
        <f t="shared" si="14"/>
        <v>0</v>
      </c>
      <c r="AP26" s="19">
        <f t="shared" si="14"/>
        <v>0</v>
      </c>
      <c r="AQ26" s="19">
        <f t="shared" si="14"/>
        <v>0</v>
      </c>
      <c r="AR26" s="19">
        <f t="shared" si="14"/>
        <v>0</v>
      </c>
    </row>
    <row r="27" spans="1:44">
      <c r="B27" s="1" t="s">
        <v>222</v>
      </c>
      <c r="C27" s="87" t="s">
        <v>80</v>
      </c>
      <c r="D27" s="86">
        <f>SUM(F27:AR27)</f>
        <v>0</v>
      </c>
      <c r="E27" s="19"/>
      <c r="F27" s="19">
        <f>F23*F$16</f>
        <v>0</v>
      </c>
      <c r="G27" s="19">
        <f t="shared" ref="G27:AR27" si="15">G23*G$16</f>
        <v>0</v>
      </c>
      <c r="H27" s="19">
        <f t="shared" si="15"/>
        <v>0</v>
      </c>
      <c r="I27" s="19">
        <f t="shared" si="15"/>
        <v>0</v>
      </c>
      <c r="J27" s="19">
        <f t="shared" si="15"/>
        <v>0</v>
      </c>
      <c r="K27" s="19">
        <f t="shared" si="15"/>
        <v>0</v>
      </c>
      <c r="L27" s="19">
        <f t="shared" si="15"/>
        <v>0</v>
      </c>
      <c r="M27" s="19">
        <f t="shared" si="15"/>
        <v>0</v>
      </c>
      <c r="N27" s="19">
        <f t="shared" si="15"/>
        <v>0</v>
      </c>
      <c r="O27" s="19">
        <f t="shared" si="15"/>
        <v>0</v>
      </c>
      <c r="P27" s="19">
        <f t="shared" si="15"/>
        <v>0</v>
      </c>
      <c r="Q27" s="19">
        <f t="shared" si="15"/>
        <v>0</v>
      </c>
      <c r="R27" s="19">
        <f t="shared" si="15"/>
        <v>0</v>
      </c>
      <c r="S27" s="19">
        <f t="shared" si="15"/>
        <v>0</v>
      </c>
      <c r="T27" s="19">
        <f t="shared" si="15"/>
        <v>0</v>
      </c>
      <c r="U27" s="19">
        <f t="shared" si="15"/>
        <v>0</v>
      </c>
      <c r="V27" s="19">
        <f t="shared" si="15"/>
        <v>0</v>
      </c>
      <c r="W27" s="19">
        <f t="shared" si="15"/>
        <v>0</v>
      </c>
      <c r="X27" s="19">
        <f t="shared" si="15"/>
        <v>0</v>
      </c>
      <c r="Y27" s="19">
        <f t="shared" si="15"/>
        <v>0</v>
      </c>
      <c r="Z27" s="19">
        <f t="shared" si="15"/>
        <v>0</v>
      </c>
      <c r="AA27" s="19">
        <f t="shared" si="15"/>
        <v>0</v>
      </c>
      <c r="AB27" s="19">
        <f t="shared" si="15"/>
        <v>0</v>
      </c>
      <c r="AC27" s="19">
        <f t="shared" si="15"/>
        <v>0</v>
      </c>
      <c r="AD27" s="19">
        <f t="shared" si="15"/>
        <v>0</v>
      </c>
      <c r="AE27" s="19">
        <f t="shared" si="15"/>
        <v>0</v>
      </c>
      <c r="AF27" s="19">
        <f t="shared" si="15"/>
        <v>0</v>
      </c>
      <c r="AG27" s="19">
        <f t="shared" si="15"/>
        <v>0</v>
      </c>
      <c r="AH27" s="19">
        <f t="shared" si="15"/>
        <v>0</v>
      </c>
      <c r="AI27" s="19">
        <f t="shared" si="15"/>
        <v>0</v>
      </c>
      <c r="AJ27" s="19">
        <f t="shared" si="15"/>
        <v>0</v>
      </c>
      <c r="AK27" s="19">
        <f t="shared" si="15"/>
        <v>0</v>
      </c>
      <c r="AL27" s="19">
        <f t="shared" si="15"/>
        <v>0</v>
      </c>
      <c r="AM27" s="19">
        <f t="shared" si="15"/>
        <v>0</v>
      </c>
      <c r="AN27" s="19">
        <f t="shared" si="15"/>
        <v>0</v>
      </c>
      <c r="AO27" s="19">
        <f t="shared" si="15"/>
        <v>0</v>
      </c>
      <c r="AP27" s="19">
        <f t="shared" si="15"/>
        <v>0</v>
      </c>
      <c r="AQ27" s="19">
        <f t="shared" si="15"/>
        <v>0</v>
      </c>
      <c r="AR27" s="19">
        <f t="shared" si="15"/>
        <v>0</v>
      </c>
    </row>
    <row r="28" spans="1:44">
      <c r="B28" s="1" t="s">
        <v>223</v>
      </c>
      <c r="C28" s="87" t="s">
        <v>80</v>
      </c>
      <c r="D28" s="86">
        <f>SUM(F28:AR28)</f>
        <v>0</v>
      </c>
      <c r="E28" s="19"/>
      <c r="F28" s="19">
        <f>F23*F$17</f>
        <v>0</v>
      </c>
      <c r="G28" s="19">
        <f t="shared" ref="G28:AR28" si="16">G23*G$17</f>
        <v>0</v>
      </c>
      <c r="H28" s="19">
        <f t="shared" si="16"/>
        <v>0</v>
      </c>
      <c r="I28" s="19">
        <f t="shared" si="16"/>
        <v>0</v>
      </c>
      <c r="J28" s="19">
        <f t="shared" si="16"/>
        <v>0</v>
      </c>
      <c r="K28" s="19">
        <f t="shared" si="16"/>
        <v>0</v>
      </c>
      <c r="L28" s="19">
        <f t="shared" si="16"/>
        <v>0</v>
      </c>
      <c r="M28" s="19">
        <f t="shared" si="16"/>
        <v>0</v>
      </c>
      <c r="N28" s="19">
        <f t="shared" si="16"/>
        <v>0</v>
      </c>
      <c r="O28" s="19">
        <f t="shared" si="16"/>
        <v>0</v>
      </c>
      <c r="P28" s="19">
        <f t="shared" si="16"/>
        <v>0</v>
      </c>
      <c r="Q28" s="19">
        <f t="shared" si="16"/>
        <v>0</v>
      </c>
      <c r="R28" s="19">
        <f t="shared" si="16"/>
        <v>0</v>
      </c>
      <c r="S28" s="19">
        <f t="shared" si="16"/>
        <v>0</v>
      </c>
      <c r="T28" s="19">
        <f t="shared" si="16"/>
        <v>0</v>
      </c>
      <c r="U28" s="19">
        <f t="shared" si="16"/>
        <v>0</v>
      </c>
      <c r="V28" s="19">
        <f t="shared" si="16"/>
        <v>0</v>
      </c>
      <c r="W28" s="19">
        <f t="shared" si="16"/>
        <v>0</v>
      </c>
      <c r="X28" s="19">
        <f t="shared" si="16"/>
        <v>0</v>
      </c>
      <c r="Y28" s="19">
        <f t="shared" si="16"/>
        <v>0</v>
      </c>
      <c r="Z28" s="19">
        <f t="shared" si="16"/>
        <v>0</v>
      </c>
      <c r="AA28" s="19">
        <f t="shared" si="16"/>
        <v>0</v>
      </c>
      <c r="AB28" s="19">
        <f t="shared" si="16"/>
        <v>0</v>
      </c>
      <c r="AC28" s="19">
        <f t="shared" si="16"/>
        <v>0</v>
      </c>
      <c r="AD28" s="19">
        <f t="shared" si="16"/>
        <v>0</v>
      </c>
      <c r="AE28" s="19">
        <f t="shared" si="16"/>
        <v>0</v>
      </c>
      <c r="AF28" s="19">
        <f t="shared" si="16"/>
        <v>0</v>
      </c>
      <c r="AG28" s="19">
        <f t="shared" si="16"/>
        <v>0</v>
      </c>
      <c r="AH28" s="19">
        <f t="shared" si="16"/>
        <v>0</v>
      </c>
      <c r="AI28" s="19">
        <f t="shared" si="16"/>
        <v>0</v>
      </c>
      <c r="AJ28" s="19">
        <f t="shared" si="16"/>
        <v>0</v>
      </c>
      <c r="AK28" s="19">
        <f t="shared" si="16"/>
        <v>0</v>
      </c>
      <c r="AL28" s="19">
        <f t="shared" si="16"/>
        <v>0</v>
      </c>
      <c r="AM28" s="19">
        <f t="shared" si="16"/>
        <v>0</v>
      </c>
      <c r="AN28" s="19">
        <f t="shared" si="16"/>
        <v>0</v>
      </c>
      <c r="AO28" s="19">
        <f t="shared" si="16"/>
        <v>0</v>
      </c>
      <c r="AP28" s="19">
        <f t="shared" si="16"/>
        <v>0</v>
      </c>
      <c r="AQ28" s="19">
        <f t="shared" si="16"/>
        <v>0</v>
      </c>
      <c r="AR28" s="19">
        <f t="shared" si="16"/>
        <v>0</v>
      </c>
    </row>
    <row r="29" spans="1:44">
      <c r="C29" s="12"/>
    </row>
    <row r="30" spans="1:44" s="9" customFormat="1">
      <c r="A30" s="8" t="s">
        <v>225</v>
      </c>
      <c r="B30" s="13"/>
      <c r="C30" s="13"/>
    </row>
    <row r="31" spans="1:44" ht="15">
      <c r="A31" s="2" t="s">
        <v>221</v>
      </c>
    </row>
    <row r="32" spans="1:44">
      <c r="B32" s="1" t="s">
        <v>327</v>
      </c>
      <c r="C32" s="87" t="s">
        <v>80</v>
      </c>
      <c r="D32" s="86">
        <f>Inputs!E38</f>
        <v>6884325</v>
      </c>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row>
    <row r="33" spans="1:44">
      <c r="B33" s="68" t="s">
        <v>328</v>
      </c>
      <c r="C33" s="95" t="s">
        <v>80</v>
      </c>
      <c r="D33" s="96">
        <f>SUM(F33:AR33)</f>
        <v>5048505</v>
      </c>
      <c r="E33" s="68"/>
      <c r="F33" s="97">
        <f>MAX(0,-IF(F13=Inputs!$E$18,'Residual Value'!$D$32*(Inputs!$E$18-Inputs!$E$39)/Inputs!$E$39,0))</f>
        <v>0</v>
      </c>
      <c r="G33" s="97">
        <f>MAX(0,-IF(G13=Inputs!$E$18,'Residual Value'!$D$32*(Inputs!$E$18-Inputs!$E$39)/Inputs!$E$39,0))</f>
        <v>0</v>
      </c>
      <c r="H33" s="97">
        <f>MAX(0,-IF(H13=Inputs!$E$18,'Residual Value'!$D$32*(Inputs!$E$18-Inputs!$E$39)/Inputs!$E$39,0))</f>
        <v>0</v>
      </c>
      <c r="I33" s="97">
        <f>MAX(0,-IF(I13=Inputs!$E$18,'Residual Value'!$D$32*(Inputs!$E$18-Inputs!$E$39)/Inputs!$E$39,0))</f>
        <v>0</v>
      </c>
      <c r="J33" s="97">
        <f>MAX(0,-IF(J13=Inputs!$E$18,'Residual Value'!$D$32*(Inputs!$E$18-Inputs!$E$39)/Inputs!$E$39,0))</f>
        <v>0</v>
      </c>
      <c r="K33" s="97">
        <f>MAX(0,-IF(K13=Inputs!$E$18,'Residual Value'!$D$32*(Inputs!$E$18-Inputs!$E$39)/Inputs!$E$39,0))</f>
        <v>0</v>
      </c>
      <c r="L33" s="97">
        <f>MAX(0,-IF(L13=Inputs!$E$18,'Residual Value'!$D$32*(Inputs!$E$18-Inputs!$E$39)/Inputs!$E$39,0))</f>
        <v>0</v>
      </c>
      <c r="M33" s="97">
        <f>MAX(0,-IF(M13=Inputs!$E$18,'Residual Value'!$D$32*(Inputs!$E$18-Inputs!$E$39)/Inputs!$E$39,0))</f>
        <v>0</v>
      </c>
      <c r="N33" s="97">
        <f>MAX(0,-IF(N13=Inputs!$E$18,'Residual Value'!$D$32*(Inputs!$E$18-Inputs!$E$39)/Inputs!$E$39,0))</f>
        <v>0</v>
      </c>
      <c r="O33" s="97">
        <f>MAX(0,-IF(O13=Inputs!$E$18,'Residual Value'!$D$32*(Inputs!$E$18-Inputs!$E$39)/Inputs!$E$39,0))</f>
        <v>0</v>
      </c>
      <c r="P33" s="97">
        <f>MAX(0,-IF(P13=Inputs!$E$18,'Residual Value'!$D$32*(Inputs!$E$18-Inputs!$E$39)/Inputs!$E$39,0))</f>
        <v>0</v>
      </c>
      <c r="Q33" s="97">
        <f>MAX(0,-IF(Q13=Inputs!$E$18,'Residual Value'!$D$32*(Inputs!$E$18-Inputs!$E$39)/Inputs!$E$39,0))</f>
        <v>0</v>
      </c>
      <c r="R33" s="97">
        <f>MAX(0,-IF(R13=Inputs!$E$18,'Residual Value'!$D$32*(Inputs!$E$18-Inputs!$E$39)/Inputs!$E$39,0))</f>
        <v>0</v>
      </c>
      <c r="S33" s="97">
        <f>MAX(0,-IF(S13=Inputs!$E$18,'Residual Value'!$D$32*(Inputs!$E$18-Inputs!$E$39)/Inputs!$E$39,0))</f>
        <v>0</v>
      </c>
      <c r="T33" s="97">
        <f>MAX(0,-IF(T13=Inputs!$E$18,'Residual Value'!$D$32*(Inputs!$E$18-Inputs!$E$39)/Inputs!$E$39,0))</f>
        <v>0</v>
      </c>
      <c r="U33" s="97">
        <f>MAX(0,-IF(U13=Inputs!$E$18,'Residual Value'!$D$32*(Inputs!$E$18-Inputs!$E$39)/Inputs!$E$39,0))</f>
        <v>0</v>
      </c>
      <c r="V33" s="97">
        <f>MAX(0,-IF(V13=Inputs!$E$18,'Residual Value'!$D$32*(Inputs!$E$18-Inputs!$E$39)/Inputs!$E$39,0))</f>
        <v>0</v>
      </c>
      <c r="W33" s="97">
        <f>MAX(0,-IF(W13=Inputs!$E$18,'Residual Value'!$D$32*(Inputs!$E$18-Inputs!$E$39)/Inputs!$E$39,0))</f>
        <v>0</v>
      </c>
      <c r="X33" s="97">
        <f>MAX(0,-IF(X13=Inputs!$E$18,'Residual Value'!$D$32*(Inputs!$E$18-Inputs!$E$39)/Inputs!$E$39,0))</f>
        <v>0</v>
      </c>
      <c r="Y33" s="97">
        <f>MAX(0,-IF(Y13=Inputs!$E$18,'Residual Value'!$D$32*(Inputs!$E$18-Inputs!$E$39)/Inputs!$E$39,0))</f>
        <v>0</v>
      </c>
      <c r="Z33" s="97">
        <f>MAX(0,-IF(Z13=Inputs!$E$18,'Residual Value'!$D$32*(Inputs!$E$18-Inputs!$E$39)/Inputs!$E$39,0))</f>
        <v>0</v>
      </c>
      <c r="AA33" s="97">
        <f>MAX(0,-IF(AA13=Inputs!$E$18,'Residual Value'!$D$32*(Inputs!$E$18-Inputs!$E$39)/Inputs!$E$39,0))</f>
        <v>0</v>
      </c>
      <c r="AB33" s="97">
        <f>MAX(0,-IF(AB13=Inputs!$E$18,'Residual Value'!$D$32*(Inputs!$E$18-Inputs!$E$39)/Inputs!$E$39,0))</f>
        <v>0</v>
      </c>
      <c r="AC33" s="97">
        <f>MAX(0,-IF(AC13=Inputs!$E$18,'Residual Value'!$D$32*(Inputs!$E$18-Inputs!$E$39)/Inputs!$E$39,0))</f>
        <v>0</v>
      </c>
      <c r="AD33" s="97">
        <f>MAX(0,-IF(AD13=Inputs!$E$18,'Residual Value'!$D$32*(Inputs!$E$18-Inputs!$E$39)/Inputs!$E$39,0))</f>
        <v>0</v>
      </c>
      <c r="AE33" s="97">
        <f>MAX(0,-IF(AE13=Inputs!$E$18,'Residual Value'!$D$32*(Inputs!$E$18-Inputs!$E$39)/Inputs!$E$39,0))</f>
        <v>0</v>
      </c>
      <c r="AF33" s="97">
        <f>MAX(0,-IF(AF13=Inputs!$E$18,'Residual Value'!$D$32*(Inputs!$E$18-Inputs!$E$39)/Inputs!$E$39,0))</f>
        <v>0</v>
      </c>
      <c r="AG33" s="97">
        <f>MAX(0,-IF(AG13=Inputs!$E$18,'Residual Value'!$D$32*(Inputs!$E$18-Inputs!$E$39)/Inputs!$E$39,0))</f>
        <v>0</v>
      </c>
      <c r="AH33" s="97">
        <f>MAX(0,-IF(AH13=Inputs!$E$18,'Residual Value'!$D$32*(Inputs!$E$18-Inputs!$E$39)/Inputs!$E$39,0))</f>
        <v>5048505</v>
      </c>
      <c r="AI33" s="97">
        <f>MAX(0,-IF(AI13=Inputs!$E$18,'Residual Value'!$D$32*(Inputs!$E$18-Inputs!$E$39)/Inputs!$E$39,0))</f>
        <v>0</v>
      </c>
      <c r="AJ33" s="97">
        <f>MAX(0,-IF(AJ13=Inputs!$E$18,'Residual Value'!$D$32*(Inputs!$E$18-Inputs!$E$39)/Inputs!$E$39,0))</f>
        <v>0</v>
      </c>
      <c r="AK33" s="97">
        <f>MAX(0,-IF(AK13=Inputs!$E$18,'Residual Value'!$D$32*(Inputs!$E$18-Inputs!$E$39)/Inputs!$E$39,0))</f>
        <v>0</v>
      </c>
      <c r="AL33" s="97">
        <f>MAX(0,-IF(AL13=Inputs!$E$18,'Residual Value'!$D$32*(Inputs!$E$18-Inputs!$E$39)/Inputs!$E$39,0))</f>
        <v>0</v>
      </c>
      <c r="AM33" s="97">
        <f>MAX(0,-IF(AM13=Inputs!$E$18,'Residual Value'!$D$32*(Inputs!$E$18-Inputs!$E$39)/Inputs!$E$39,0))</f>
        <v>0</v>
      </c>
      <c r="AN33" s="97">
        <f>MAX(0,-IF(AN13=Inputs!$E$18,'Residual Value'!$D$32*(Inputs!$E$18-Inputs!$E$39)/Inputs!$E$39,0))</f>
        <v>0</v>
      </c>
      <c r="AO33" s="97">
        <f>MAX(0,-IF(AO13=Inputs!$E$18,'Residual Value'!$D$32*(Inputs!$E$18-Inputs!$E$39)/Inputs!$E$39,0))</f>
        <v>0</v>
      </c>
      <c r="AP33" s="97">
        <f>MAX(0,-IF(AP13=Inputs!$E$18,'Residual Value'!$D$32*(Inputs!$E$18-Inputs!$E$39)/Inputs!$E$39,0))</f>
        <v>0</v>
      </c>
      <c r="AQ33" s="97">
        <f>MAX(0,-IF(AQ13=Inputs!$E$18,'Residual Value'!$D$32*(Inputs!$E$18-Inputs!$E$39)/Inputs!$E$39,0))</f>
        <v>0</v>
      </c>
      <c r="AR33" s="97">
        <f>MAX(0,-IF(AR13=Inputs!$E$18,'Residual Value'!$D$32*(Inputs!$E$18-Inputs!$E$39)/Inputs!$E$39,0))</f>
        <v>0</v>
      </c>
    </row>
    <row r="34" spans="1:44">
      <c r="B34" s="1" t="s">
        <v>219</v>
      </c>
      <c r="C34" s="87" t="s">
        <v>80</v>
      </c>
      <c r="D34" s="86">
        <f>SUM(F34:AR34)</f>
        <v>5048505</v>
      </c>
      <c r="F34" s="19">
        <f t="shared" ref="F34:AR34" si="17">F33</f>
        <v>0</v>
      </c>
      <c r="G34" s="19">
        <f t="shared" si="17"/>
        <v>0</v>
      </c>
      <c r="H34" s="19">
        <f t="shared" si="17"/>
        <v>0</v>
      </c>
      <c r="I34" s="19">
        <f t="shared" si="17"/>
        <v>0</v>
      </c>
      <c r="J34" s="19">
        <f t="shared" si="17"/>
        <v>0</v>
      </c>
      <c r="K34" s="19">
        <f t="shared" si="17"/>
        <v>0</v>
      </c>
      <c r="L34" s="19">
        <f t="shared" si="17"/>
        <v>0</v>
      </c>
      <c r="M34" s="19">
        <f t="shared" si="17"/>
        <v>0</v>
      </c>
      <c r="N34" s="19">
        <f t="shared" si="17"/>
        <v>0</v>
      </c>
      <c r="O34" s="19">
        <f t="shared" si="17"/>
        <v>0</v>
      </c>
      <c r="P34" s="19">
        <f t="shared" si="17"/>
        <v>0</v>
      </c>
      <c r="Q34" s="19">
        <f t="shared" si="17"/>
        <v>0</v>
      </c>
      <c r="R34" s="19">
        <f t="shared" si="17"/>
        <v>0</v>
      </c>
      <c r="S34" s="19">
        <f t="shared" si="17"/>
        <v>0</v>
      </c>
      <c r="T34" s="19">
        <f t="shared" si="17"/>
        <v>0</v>
      </c>
      <c r="U34" s="19">
        <f t="shared" si="17"/>
        <v>0</v>
      </c>
      <c r="V34" s="19">
        <f t="shared" si="17"/>
        <v>0</v>
      </c>
      <c r="W34" s="19">
        <f t="shared" si="17"/>
        <v>0</v>
      </c>
      <c r="X34" s="19">
        <f t="shared" si="17"/>
        <v>0</v>
      </c>
      <c r="Y34" s="19">
        <f t="shared" si="17"/>
        <v>0</v>
      </c>
      <c r="Z34" s="19">
        <f t="shared" si="17"/>
        <v>0</v>
      </c>
      <c r="AA34" s="19">
        <f t="shared" si="17"/>
        <v>0</v>
      </c>
      <c r="AB34" s="19">
        <f t="shared" si="17"/>
        <v>0</v>
      </c>
      <c r="AC34" s="19">
        <f t="shared" si="17"/>
        <v>0</v>
      </c>
      <c r="AD34" s="19">
        <f t="shared" si="17"/>
        <v>0</v>
      </c>
      <c r="AE34" s="19">
        <f t="shared" si="17"/>
        <v>0</v>
      </c>
      <c r="AF34" s="19">
        <f t="shared" si="17"/>
        <v>0</v>
      </c>
      <c r="AG34" s="19">
        <f t="shared" si="17"/>
        <v>0</v>
      </c>
      <c r="AH34" s="19">
        <f t="shared" si="17"/>
        <v>5048505</v>
      </c>
      <c r="AI34" s="19">
        <f t="shared" si="17"/>
        <v>0</v>
      </c>
      <c r="AJ34" s="19">
        <f t="shared" si="17"/>
        <v>0</v>
      </c>
      <c r="AK34" s="19">
        <f t="shared" si="17"/>
        <v>0</v>
      </c>
      <c r="AL34" s="19">
        <f t="shared" si="17"/>
        <v>0</v>
      </c>
      <c r="AM34" s="19">
        <f t="shared" si="17"/>
        <v>0</v>
      </c>
      <c r="AN34" s="19">
        <f t="shared" si="17"/>
        <v>0</v>
      </c>
      <c r="AO34" s="19">
        <f t="shared" si="17"/>
        <v>0</v>
      </c>
      <c r="AP34" s="19">
        <f t="shared" si="17"/>
        <v>0</v>
      </c>
      <c r="AQ34" s="19">
        <f t="shared" si="17"/>
        <v>0</v>
      </c>
      <c r="AR34" s="19">
        <f t="shared" si="17"/>
        <v>0</v>
      </c>
    </row>
    <row r="35" spans="1:44">
      <c r="C35" s="87"/>
      <c r="D35" s="86"/>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row>
    <row r="36" spans="1:44">
      <c r="C36" s="12"/>
    </row>
    <row r="37" spans="1:44" ht="15">
      <c r="A37" s="2" t="s">
        <v>220</v>
      </c>
      <c r="C37" s="12"/>
    </row>
    <row r="38" spans="1:44">
      <c r="B38" s="1" t="s">
        <v>221</v>
      </c>
      <c r="C38" s="87" t="s">
        <v>80</v>
      </c>
      <c r="D38" s="86">
        <f>SUM(F38:AR38)</f>
        <v>5048505</v>
      </c>
      <c r="E38" s="19"/>
      <c r="F38" s="19">
        <f>F$15*F$34</f>
        <v>0</v>
      </c>
      <c r="G38" s="19">
        <f t="shared" ref="G38:AR38" si="18">G$15*G$34</f>
        <v>0</v>
      </c>
      <c r="H38" s="19">
        <f t="shared" si="18"/>
        <v>0</v>
      </c>
      <c r="I38" s="19">
        <f t="shared" si="18"/>
        <v>0</v>
      </c>
      <c r="J38" s="19">
        <f t="shared" si="18"/>
        <v>0</v>
      </c>
      <c r="K38" s="19">
        <f t="shared" si="18"/>
        <v>0</v>
      </c>
      <c r="L38" s="19">
        <f t="shared" si="18"/>
        <v>0</v>
      </c>
      <c r="M38" s="19">
        <f t="shared" si="18"/>
        <v>0</v>
      </c>
      <c r="N38" s="19">
        <f t="shared" si="18"/>
        <v>0</v>
      </c>
      <c r="O38" s="19">
        <f t="shared" si="18"/>
        <v>0</v>
      </c>
      <c r="P38" s="19">
        <f t="shared" si="18"/>
        <v>0</v>
      </c>
      <c r="Q38" s="19">
        <f t="shared" si="18"/>
        <v>0</v>
      </c>
      <c r="R38" s="19">
        <f t="shared" si="18"/>
        <v>0</v>
      </c>
      <c r="S38" s="19">
        <f t="shared" si="18"/>
        <v>0</v>
      </c>
      <c r="T38" s="19">
        <f t="shared" si="18"/>
        <v>0</v>
      </c>
      <c r="U38" s="19">
        <f t="shared" si="18"/>
        <v>0</v>
      </c>
      <c r="V38" s="19">
        <f t="shared" si="18"/>
        <v>0</v>
      </c>
      <c r="W38" s="19">
        <f t="shared" si="18"/>
        <v>0</v>
      </c>
      <c r="X38" s="19">
        <f t="shared" si="18"/>
        <v>0</v>
      </c>
      <c r="Y38" s="19">
        <f t="shared" si="18"/>
        <v>0</v>
      </c>
      <c r="Z38" s="19">
        <f t="shared" si="18"/>
        <v>0</v>
      </c>
      <c r="AA38" s="19">
        <f t="shared" si="18"/>
        <v>0</v>
      </c>
      <c r="AB38" s="19">
        <f t="shared" si="18"/>
        <v>0</v>
      </c>
      <c r="AC38" s="19">
        <f t="shared" si="18"/>
        <v>0</v>
      </c>
      <c r="AD38" s="19">
        <f t="shared" si="18"/>
        <v>0</v>
      </c>
      <c r="AE38" s="19">
        <f t="shared" si="18"/>
        <v>0</v>
      </c>
      <c r="AF38" s="19">
        <f t="shared" si="18"/>
        <v>0</v>
      </c>
      <c r="AG38" s="19">
        <f t="shared" si="18"/>
        <v>0</v>
      </c>
      <c r="AH38" s="19">
        <f t="shared" si="18"/>
        <v>5048505</v>
      </c>
      <c r="AI38" s="19">
        <f t="shared" si="18"/>
        <v>0</v>
      </c>
      <c r="AJ38" s="19">
        <f t="shared" si="18"/>
        <v>0</v>
      </c>
      <c r="AK38" s="19">
        <f t="shared" si="18"/>
        <v>0</v>
      </c>
      <c r="AL38" s="19">
        <f t="shared" si="18"/>
        <v>0</v>
      </c>
      <c r="AM38" s="19">
        <f t="shared" si="18"/>
        <v>0</v>
      </c>
      <c r="AN38" s="19">
        <f t="shared" si="18"/>
        <v>0</v>
      </c>
      <c r="AO38" s="19">
        <f t="shared" si="18"/>
        <v>0</v>
      </c>
      <c r="AP38" s="19">
        <f t="shared" si="18"/>
        <v>0</v>
      </c>
      <c r="AQ38" s="19">
        <f t="shared" si="18"/>
        <v>0</v>
      </c>
      <c r="AR38" s="19">
        <f t="shared" si="18"/>
        <v>0</v>
      </c>
    </row>
    <row r="39" spans="1:44">
      <c r="B39" s="1" t="s">
        <v>222</v>
      </c>
      <c r="C39" s="87" t="s">
        <v>80</v>
      </c>
      <c r="D39" s="86">
        <f>SUM(F39:AR39)</f>
        <v>2411194.104445335</v>
      </c>
      <c r="E39" s="19"/>
      <c r="F39" s="19">
        <f>F$16*F$34</f>
        <v>0</v>
      </c>
      <c r="G39" s="19">
        <f t="shared" ref="G39:AR39" si="19">G$16*G$34</f>
        <v>0</v>
      </c>
      <c r="H39" s="19">
        <f t="shared" si="19"/>
        <v>0</v>
      </c>
      <c r="I39" s="19">
        <f t="shared" si="19"/>
        <v>0</v>
      </c>
      <c r="J39" s="19">
        <f t="shared" si="19"/>
        <v>0</v>
      </c>
      <c r="K39" s="19">
        <f t="shared" si="19"/>
        <v>0</v>
      </c>
      <c r="L39" s="19">
        <f t="shared" si="19"/>
        <v>0</v>
      </c>
      <c r="M39" s="19">
        <f t="shared" si="19"/>
        <v>0</v>
      </c>
      <c r="N39" s="19">
        <f t="shared" si="19"/>
        <v>0</v>
      </c>
      <c r="O39" s="19">
        <f t="shared" si="19"/>
        <v>0</v>
      </c>
      <c r="P39" s="19">
        <f t="shared" si="19"/>
        <v>0</v>
      </c>
      <c r="Q39" s="19">
        <f t="shared" si="19"/>
        <v>0</v>
      </c>
      <c r="R39" s="19">
        <f t="shared" si="19"/>
        <v>0</v>
      </c>
      <c r="S39" s="19">
        <f t="shared" si="19"/>
        <v>0</v>
      </c>
      <c r="T39" s="19">
        <f t="shared" si="19"/>
        <v>0</v>
      </c>
      <c r="U39" s="19">
        <f t="shared" si="19"/>
        <v>0</v>
      </c>
      <c r="V39" s="19">
        <f t="shared" si="19"/>
        <v>0</v>
      </c>
      <c r="W39" s="19">
        <f t="shared" si="19"/>
        <v>0</v>
      </c>
      <c r="X39" s="19">
        <f t="shared" si="19"/>
        <v>0</v>
      </c>
      <c r="Y39" s="19">
        <f t="shared" si="19"/>
        <v>0</v>
      </c>
      <c r="Z39" s="19">
        <f t="shared" si="19"/>
        <v>0</v>
      </c>
      <c r="AA39" s="19">
        <f t="shared" si="19"/>
        <v>0</v>
      </c>
      <c r="AB39" s="19">
        <f t="shared" si="19"/>
        <v>0</v>
      </c>
      <c r="AC39" s="19">
        <f t="shared" si="19"/>
        <v>0</v>
      </c>
      <c r="AD39" s="19">
        <f t="shared" si="19"/>
        <v>0</v>
      </c>
      <c r="AE39" s="19">
        <f t="shared" si="19"/>
        <v>0</v>
      </c>
      <c r="AF39" s="19">
        <f t="shared" si="19"/>
        <v>0</v>
      </c>
      <c r="AG39" s="19">
        <f t="shared" si="19"/>
        <v>0</v>
      </c>
      <c r="AH39" s="19">
        <f t="shared" si="19"/>
        <v>2411194.104445335</v>
      </c>
      <c r="AI39" s="19">
        <f t="shared" si="19"/>
        <v>0</v>
      </c>
      <c r="AJ39" s="19">
        <f t="shared" si="19"/>
        <v>0</v>
      </c>
      <c r="AK39" s="19">
        <f t="shared" si="19"/>
        <v>0</v>
      </c>
      <c r="AL39" s="19">
        <f t="shared" si="19"/>
        <v>0</v>
      </c>
      <c r="AM39" s="19">
        <f t="shared" si="19"/>
        <v>0</v>
      </c>
      <c r="AN39" s="19">
        <f t="shared" si="19"/>
        <v>0</v>
      </c>
      <c r="AO39" s="19">
        <f t="shared" si="19"/>
        <v>0</v>
      </c>
      <c r="AP39" s="19">
        <f t="shared" si="19"/>
        <v>0</v>
      </c>
      <c r="AQ39" s="19">
        <f t="shared" si="19"/>
        <v>0</v>
      </c>
      <c r="AR39" s="19">
        <f t="shared" si="19"/>
        <v>0</v>
      </c>
    </row>
    <row r="40" spans="1:44">
      <c r="B40" s="1" t="s">
        <v>223</v>
      </c>
      <c r="C40" s="87" t="s">
        <v>80</v>
      </c>
      <c r="D40" s="86">
        <f>SUM(F40:AR40)</f>
        <v>930182.89396691404</v>
      </c>
      <c r="E40" s="19"/>
      <c r="F40" s="19">
        <f>F$17*F$34</f>
        <v>0</v>
      </c>
      <c r="G40" s="19">
        <f t="shared" ref="G40:AR40" si="20">G$17*G$34</f>
        <v>0</v>
      </c>
      <c r="H40" s="19">
        <f t="shared" si="20"/>
        <v>0</v>
      </c>
      <c r="I40" s="19">
        <f t="shared" si="20"/>
        <v>0</v>
      </c>
      <c r="J40" s="19">
        <f t="shared" si="20"/>
        <v>0</v>
      </c>
      <c r="K40" s="19">
        <f t="shared" si="20"/>
        <v>0</v>
      </c>
      <c r="L40" s="19">
        <f t="shared" si="20"/>
        <v>0</v>
      </c>
      <c r="M40" s="19">
        <f t="shared" si="20"/>
        <v>0</v>
      </c>
      <c r="N40" s="19">
        <f t="shared" si="20"/>
        <v>0</v>
      </c>
      <c r="O40" s="19">
        <f t="shared" si="20"/>
        <v>0</v>
      </c>
      <c r="P40" s="19">
        <f t="shared" si="20"/>
        <v>0</v>
      </c>
      <c r="Q40" s="19">
        <f t="shared" si="20"/>
        <v>0</v>
      </c>
      <c r="R40" s="19">
        <f t="shared" si="20"/>
        <v>0</v>
      </c>
      <c r="S40" s="19">
        <f t="shared" si="20"/>
        <v>0</v>
      </c>
      <c r="T40" s="19">
        <f t="shared" si="20"/>
        <v>0</v>
      </c>
      <c r="U40" s="19">
        <f t="shared" si="20"/>
        <v>0</v>
      </c>
      <c r="V40" s="19">
        <f t="shared" si="20"/>
        <v>0</v>
      </c>
      <c r="W40" s="19">
        <f t="shared" si="20"/>
        <v>0</v>
      </c>
      <c r="X40" s="19">
        <f t="shared" si="20"/>
        <v>0</v>
      </c>
      <c r="Y40" s="19">
        <f t="shared" si="20"/>
        <v>0</v>
      </c>
      <c r="Z40" s="19">
        <f t="shared" si="20"/>
        <v>0</v>
      </c>
      <c r="AA40" s="19">
        <f t="shared" si="20"/>
        <v>0</v>
      </c>
      <c r="AB40" s="19">
        <f t="shared" si="20"/>
        <v>0</v>
      </c>
      <c r="AC40" s="19">
        <f t="shared" si="20"/>
        <v>0</v>
      </c>
      <c r="AD40" s="19">
        <f t="shared" si="20"/>
        <v>0</v>
      </c>
      <c r="AE40" s="19">
        <f t="shared" si="20"/>
        <v>0</v>
      </c>
      <c r="AF40" s="19">
        <f t="shared" si="20"/>
        <v>0</v>
      </c>
      <c r="AG40" s="19">
        <f t="shared" si="20"/>
        <v>0</v>
      </c>
      <c r="AH40" s="19">
        <f t="shared" si="20"/>
        <v>930182.89396691404</v>
      </c>
      <c r="AI40" s="19">
        <f t="shared" si="20"/>
        <v>0</v>
      </c>
      <c r="AJ40" s="19">
        <f t="shared" si="20"/>
        <v>0</v>
      </c>
      <c r="AK40" s="19">
        <f t="shared" si="20"/>
        <v>0</v>
      </c>
      <c r="AL40" s="19">
        <f t="shared" si="20"/>
        <v>0</v>
      </c>
      <c r="AM40" s="19">
        <f t="shared" si="20"/>
        <v>0</v>
      </c>
      <c r="AN40" s="19">
        <f t="shared" si="20"/>
        <v>0</v>
      </c>
      <c r="AO40" s="19">
        <f t="shared" si="20"/>
        <v>0</v>
      </c>
      <c r="AP40" s="19">
        <f t="shared" si="20"/>
        <v>0</v>
      </c>
      <c r="AQ40" s="19">
        <f t="shared" si="20"/>
        <v>0</v>
      </c>
      <c r="AR40" s="19">
        <f t="shared" si="20"/>
        <v>0</v>
      </c>
    </row>
    <row r="41" spans="1:44">
      <c r="C41" s="12"/>
    </row>
    <row r="42" spans="1:44" s="9" customFormat="1">
      <c r="B42" s="8" t="s">
        <v>329</v>
      </c>
      <c r="C42" s="13"/>
    </row>
    <row r="43" spans="1:44" ht="15">
      <c r="A43" s="2" t="s">
        <v>330</v>
      </c>
      <c r="C43" s="12"/>
    </row>
    <row r="44" spans="1:44">
      <c r="B44" s="1" t="s">
        <v>221</v>
      </c>
      <c r="C44" s="87" t="s">
        <v>80</v>
      </c>
      <c r="D44" s="86">
        <f>SUM(F44:AR44)</f>
        <v>0</v>
      </c>
      <c r="E44" s="6"/>
      <c r="F44" s="19">
        <f t="shared" ref="F44:AR44" si="21">F26</f>
        <v>0</v>
      </c>
      <c r="G44" s="19">
        <f t="shared" si="21"/>
        <v>0</v>
      </c>
      <c r="H44" s="19">
        <f t="shared" si="21"/>
        <v>0</v>
      </c>
      <c r="I44" s="19">
        <f t="shared" si="21"/>
        <v>0</v>
      </c>
      <c r="J44" s="19">
        <f t="shared" si="21"/>
        <v>0</v>
      </c>
      <c r="K44" s="19">
        <f t="shared" si="21"/>
        <v>0</v>
      </c>
      <c r="L44" s="19">
        <f t="shared" si="21"/>
        <v>0</v>
      </c>
      <c r="M44" s="19">
        <f t="shared" si="21"/>
        <v>0</v>
      </c>
      <c r="N44" s="19">
        <f t="shared" si="21"/>
        <v>0</v>
      </c>
      <c r="O44" s="19">
        <f t="shared" si="21"/>
        <v>0</v>
      </c>
      <c r="P44" s="19">
        <f t="shared" si="21"/>
        <v>0</v>
      </c>
      <c r="Q44" s="19">
        <f t="shared" si="21"/>
        <v>0</v>
      </c>
      <c r="R44" s="19">
        <f t="shared" si="21"/>
        <v>0</v>
      </c>
      <c r="S44" s="19">
        <f t="shared" si="21"/>
        <v>0</v>
      </c>
      <c r="T44" s="19">
        <f t="shared" si="21"/>
        <v>0</v>
      </c>
      <c r="U44" s="19">
        <f t="shared" si="21"/>
        <v>0</v>
      </c>
      <c r="V44" s="19">
        <f t="shared" si="21"/>
        <v>0</v>
      </c>
      <c r="W44" s="19">
        <f t="shared" si="21"/>
        <v>0</v>
      </c>
      <c r="X44" s="19">
        <f t="shared" si="21"/>
        <v>0</v>
      </c>
      <c r="Y44" s="19">
        <f t="shared" si="21"/>
        <v>0</v>
      </c>
      <c r="Z44" s="19">
        <f t="shared" si="21"/>
        <v>0</v>
      </c>
      <c r="AA44" s="19">
        <f t="shared" si="21"/>
        <v>0</v>
      </c>
      <c r="AB44" s="19">
        <f t="shared" si="21"/>
        <v>0</v>
      </c>
      <c r="AC44" s="19">
        <f t="shared" si="21"/>
        <v>0</v>
      </c>
      <c r="AD44" s="19">
        <f t="shared" si="21"/>
        <v>0</v>
      </c>
      <c r="AE44" s="19">
        <f t="shared" si="21"/>
        <v>0</v>
      </c>
      <c r="AF44" s="19">
        <f t="shared" si="21"/>
        <v>0</v>
      </c>
      <c r="AG44" s="19">
        <f t="shared" si="21"/>
        <v>0</v>
      </c>
      <c r="AH44" s="19">
        <f t="shared" si="21"/>
        <v>0</v>
      </c>
      <c r="AI44" s="19">
        <f t="shared" si="21"/>
        <v>0</v>
      </c>
      <c r="AJ44" s="19">
        <f t="shared" si="21"/>
        <v>0</v>
      </c>
      <c r="AK44" s="19">
        <f t="shared" si="21"/>
        <v>0</v>
      </c>
      <c r="AL44" s="19">
        <f t="shared" si="21"/>
        <v>0</v>
      </c>
      <c r="AM44" s="19">
        <f t="shared" si="21"/>
        <v>0</v>
      </c>
      <c r="AN44" s="19">
        <f t="shared" si="21"/>
        <v>0</v>
      </c>
      <c r="AO44" s="19">
        <f t="shared" si="21"/>
        <v>0</v>
      </c>
      <c r="AP44" s="19">
        <f t="shared" si="21"/>
        <v>0</v>
      </c>
      <c r="AQ44" s="19">
        <f t="shared" si="21"/>
        <v>0</v>
      </c>
      <c r="AR44" s="19">
        <f t="shared" si="21"/>
        <v>0</v>
      </c>
    </row>
    <row r="45" spans="1:44">
      <c r="B45" s="1" t="s">
        <v>222</v>
      </c>
      <c r="C45" s="87" t="s">
        <v>80</v>
      </c>
      <c r="D45" s="86">
        <f>SUM(F45:AR45)</f>
        <v>0</v>
      </c>
      <c r="E45" s="6"/>
      <c r="F45" s="19">
        <f t="shared" ref="F45:AR45" si="22">F27</f>
        <v>0</v>
      </c>
      <c r="G45" s="19">
        <f t="shared" si="22"/>
        <v>0</v>
      </c>
      <c r="H45" s="19">
        <f t="shared" si="22"/>
        <v>0</v>
      </c>
      <c r="I45" s="19">
        <f t="shared" si="22"/>
        <v>0</v>
      </c>
      <c r="J45" s="19">
        <f t="shared" si="22"/>
        <v>0</v>
      </c>
      <c r="K45" s="19">
        <f t="shared" si="22"/>
        <v>0</v>
      </c>
      <c r="L45" s="19">
        <f t="shared" si="22"/>
        <v>0</v>
      </c>
      <c r="M45" s="19">
        <f t="shared" si="22"/>
        <v>0</v>
      </c>
      <c r="N45" s="19">
        <f t="shared" si="22"/>
        <v>0</v>
      </c>
      <c r="O45" s="19">
        <f t="shared" si="22"/>
        <v>0</v>
      </c>
      <c r="P45" s="19">
        <f t="shared" si="22"/>
        <v>0</v>
      </c>
      <c r="Q45" s="19">
        <f t="shared" si="22"/>
        <v>0</v>
      </c>
      <c r="R45" s="19">
        <f t="shared" si="22"/>
        <v>0</v>
      </c>
      <c r="S45" s="19">
        <f t="shared" si="22"/>
        <v>0</v>
      </c>
      <c r="T45" s="19">
        <f t="shared" si="22"/>
        <v>0</v>
      </c>
      <c r="U45" s="19">
        <f t="shared" si="22"/>
        <v>0</v>
      </c>
      <c r="V45" s="19">
        <f t="shared" si="22"/>
        <v>0</v>
      </c>
      <c r="W45" s="19">
        <f t="shared" si="22"/>
        <v>0</v>
      </c>
      <c r="X45" s="19">
        <f t="shared" si="22"/>
        <v>0</v>
      </c>
      <c r="Y45" s="19">
        <f t="shared" si="22"/>
        <v>0</v>
      </c>
      <c r="Z45" s="19">
        <f t="shared" si="22"/>
        <v>0</v>
      </c>
      <c r="AA45" s="19">
        <f t="shared" si="22"/>
        <v>0</v>
      </c>
      <c r="AB45" s="19">
        <f t="shared" si="22"/>
        <v>0</v>
      </c>
      <c r="AC45" s="19">
        <f t="shared" si="22"/>
        <v>0</v>
      </c>
      <c r="AD45" s="19">
        <f t="shared" si="22"/>
        <v>0</v>
      </c>
      <c r="AE45" s="19">
        <f t="shared" si="22"/>
        <v>0</v>
      </c>
      <c r="AF45" s="19">
        <f t="shared" si="22"/>
        <v>0</v>
      </c>
      <c r="AG45" s="19">
        <f t="shared" si="22"/>
        <v>0</v>
      </c>
      <c r="AH45" s="19">
        <f t="shared" si="22"/>
        <v>0</v>
      </c>
      <c r="AI45" s="19">
        <f t="shared" si="22"/>
        <v>0</v>
      </c>
      <c r="AJ45" s="19">
        <f t="shared" si="22"/>
        <v>0</v>
      </c>
      <c r="AK45" s="19">
        <f t="shared" si="22"/>
        <v>0</v>
      </c>
      <c r="AL45" s="19">
        <f t="shared" si="22"/>
        <v>0</v>
      </c>
      <c r="AM45" s="19">
        <f t="shared" si="22"/>
        <v>0</v>
      </c>
      <c r="AN45" s="19">
        <f t="shared" si="22"/>
        <v>0</v>
      </c>
      <c r="AO45" s="19">
        <f t="shared" si="22"/>
        <v>0</v>
      </c>
      <c r="AP45" s="19">
        <f t="shared" si="22"/>
        <v>0</v>
      </c>
      <c r="AQ45" s="19">
        <f t="shared" si="22"/>
        <v>0</v>
      </c>
      <c r="AR45" s="19">
        <f t="shared" si="22"/>
        <v>0</v>
      </c>
    </row>
    <row r="46" spans="1:44">
      <c r="B46" s="1" t="s">
        <v>223</v>
      </c>
      <c r="C46" s="87" t="s">
        <v>80</v>
      </c>
      <c r="D46" s="86">
        <f>SUM(F46:AR46)</f>
        <v>0</v>
      </c>
      <c r="E46" s="6"/>
      <c r="F46" s="19">
        <f t="shared" ref="F46:AR46" si="23">F28</f>
        <v>0</v>
      </c>
      <c r="G46" s="19">
        <f t="shared" si="23"/>
        <v>0</v>
      </c>
      <c r="H46" s="19">
        <f t="shared" si="23"/>
        <v>0</v>
      </c>
      <c r="I46" s="19">
        <f t="shared" si="23"/>
        <v>0</v>
      </c>
      <c r="J46" s="19">
        <f t="shared" si="23"/>
        <v>0</v>
      </c>
      <c r="K46" s="19">
        <f t="shared" si="23"/>
        <v>0</v>
      </c>
      <c r="L46" s="19">
        <f t="shared" si="23"/>
        <v>0</v>
      </c>
      <c r="M46" s="19">
        <f t="shared" si="23"/>
        <v>0</v>
      </c>
      <c r="N46" s="19">
        <f t="shared" si="23"/>
        <v>0</v>
      </c>
      <c r="O46" s="19">
        <f t="shared" si="23"/>
        <v>0</v>
      </c>
      <c r="P46" s="19">
        <f t="shared" si="23"/>
        <v>0</v>
      </c>
      <c r="Q46" s="19">
        <f t="shared" si="23"/>
        <v>0</v>
      </c>
      <c r="R46" s="19">
        <f t="shared" si="23"/>
        <v>0</v>
      </c>
      <c r="S46" s="19">
        <f t="shared" si="23"/>
        <v>0</v>
      </c>
      <c r="T46" s="19">
        <f t="shared" si="23"/>
        <v>0</v>
      </c>
      <c r="U46" s="19">
        <f t="shared" si="23"/>
        <v>0</v>
      </c>
      <c r="V46" s="19">
        <f t="shared" si="23"/>
        <v>0</v>
      </c>
      <c r="W46" s="19">
        <f t="shared" si="23"/>
        <v>0</v>
      </c>
      <c r="X46" s="19">
        <f t="shared" si="23"/>
        <v>0</v>
      </c>
      <c r="Y46" s="19">
        <f t="shared" si="23"/>
        <v>0</v>
      </c>
      <c r="Z46" s="19">
        <f t="shared" si="23"/>
        <v>0</v>
      </c>
      <c r="AA46" s="19">
        <f t="shared" si="23"/>
        <v>0</v>
      </c>
      <c r="AB46" s="19">
        <f t="shared" si="23"/>
        <v>0</v>
      </c>
      <c r="AC46" s="19">
        <f t="shared" si="23"/>
        <v>0</v>
      </c>
      <c r="AD46" s="19">
        <f t="shared" si="23"/>
        <v>0</v>
      </c>
      <c r="AE46" s="19">
        <f t="shared" si="23"/>
        <v>0</v>
      </c>
      <c r="AF46" s="19">
        <f t="shared" si="23"/>
        <v>0</v>
      </c>
      <c r="AG46" s="19">
        <f t="shared" si="23"/>
        <v>0</v>
      </c>
      <c r="AH46" s="19">
        <f t="shared" si="23"/>
        <v>0</v>
      </c>
      <c r="AI46" s="19">
        <f t="shared" si="23"/>
        <v>0</v>
      </c>
      <c r="AJ46" s="19">
        <f t="shared" si="23"/>
        <v>0</v>
      </c>
      <c r="AK46" s="19">
        <f t="shared" si="23"/>
        <v>0</v>
      </c>
      <c r="AL46" s="19">
        <f t="shared" si="23"/>
        <v>0</v>
      </c>
      <c r="AM46" s="19">
        <f t="shared" si="23"/>
        <v>0</v>
      </c>
      <c r="AN46" s="19">
        <f t="shared" si="23"/>
        <v>0</v>
      </c>
      <c r="AO46" s="19">
        <f t="shared" si="23"/>
        <v>0</v>
      </c>
      <c r="AP46" s="19">
        <f t="shared" si="23"/>
        <v>0</v>
      </c>
      <c r="AQ46" s="19">
        <f t="shared" si="23"/>
        <v>0</v>
      </c>
      <c r="AR46" s="19">
        <f t="shared" si="23"/>
        <v>0</v>
      </c>
    </row>
    <row r="47" spans="1:44">
      <c r="C47" s="87"/>
      <c r="D47" s="6"/>
      <c r="E47" s="6"/>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row>
    <row r="48" spans="1:44" ht="15">
      <c r="A48" s="2" t="s">
        <v>331</v>
      </c>
      <c r="C48" s="12"/>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row>
    <row r="49" spans="1:44">
      <c r="B49" s="1" t="s">
        <v>221</v>
      </c>
      <c r="C49" s="87" t="s">
        <v>80</v>
      </c>
      <c r="D49" s="86">
        <f>SUM(F49:AR49)</f>
        <v>5048505</v>
      </c>
      <c r="F49" s="19">
        <f>F38</f>
        <v>0</v>
      </c>
      <c r="G49" s="19">
        <f t="shared" ref="G49:AR49" si="24">G38</f>
        <v>0</v>
      </c>
      <c r="H49" s="19">
        <f t="shared" si="24"/>
        <v>0</v>
      </c>
      <c r="I49" s="19">
        <f t="shared" si="24"/>
        <v>0</v>
      </c>
      <c r="J49" s="19">
        <f t="shared" si="24"/>
        <v>0</v>
      </c>
      <c r="K49" s="19">
        <f t="shared" si="24"/>
        <v>0</v>
      </c>
      <c r="L49" s="19">
        <f t="shared" si="24"/>
        <v>0</v>
      </c>
      <c r="M49" s="19">
        <f t="shared" si="24"/>
        <v>0</v>
      </c>
      <c r="N49" s="19">
        <f t="shared" si="24"/>
        <v>0</v>
      </c>
      <c r="O49" s="19">
        <f t="shared" si="24"/>
        <v>0</v>
      </c>
      <c r="P49" s="19">
        <f t="shared" si="24"/>
        <v>0</v>
      </c>
      <c r="Q49" s="19">
        <f t="shared" si="24"/>
        <v>0</v>
      </c>
      <c r="R49" s="19">
        <f t="shared" si="24"/>
        <v>0</v>
      </c>
      <c r="S49" s="19">
        <f t="shared" si="24"/>
        <v>0</v>
      </c>
      <c r="T49" s="19">
        <f t="shared" si="24"/>
        <v>0</v>
      </c>
      <c r="U49" s="19">
        <f t="shared" si="24"/>
        <v>0</v>
      </c>
      <c r="V49" s="19">
        <f t="shared" si="24"/>
        <v>0</v>
      </c>
      <c r="W49" s="19">
        <f t="shared" si="24"/>
        <v>0</v>
      </c>
      <c r="X49" s="19">
        <f t="shared" si="24"/>
        <v>0</v>
      </c>
      <c r="Y49" s="19">
        <f t="shared" si="24"/>
        <v>0</v>
      </c>
      <c r="Z49" s="19">
        <f t="shared" si="24"/>
        <v>0</v>
      </c>
      <c r="AA49" s="19">
        <f t="shared" si="24"/>
        <v>0</v>
      </c>
      <c r="AB49" s="19">
        <f t="shared" si="24"/>
        <v>0</v>
      </c>
      <c r="AC49" s="19">
        <f t="shared" si="24"/>
        <v>0</v>
      </c>
      <c r="AD49" s="19">
        <f t="shared" si="24"/>
        <v>0</v>
      </c>
      <c r="AE49" s="19">
        <f t="shared" si="24"/>
        <v>0</v>
      </c>
      <c r="AF49" s="19">
        <f t="shared" si="24"/>
        <v>0</v>
      </c>
      <c r="AG49" s="19">
        <f t="shared" si="24"/>
        <v>0</v>
      </c>
      <c r="AH49" s="19">
        <f t="shared" si="24"/>
        <v>5048505</v>
      </c>
      <c r="AI49" s="19">
        <f t="shared" si="24"/>
        <v>0</v>
      </c>
      <c r="AJ49" s="19">
        <f t="shared" si="24"/>
        <v>0</v>
      </c>
      <c r="AK49" s="19">
        <f t="shared" si="24"/>
        <v>0</v>
      </c>
      <c r="AL49" s="19">
        <f t="shared" si="24"/>
        <v>0</v>
      </c>
      <c r="AM49" s="19">
        <f t="shared" si="24"/>
        <v>0</v>
      </c>
      <c r="AN49" s="19">
        <f t="shared" si="24"/>
        <v>0</v>
      </c>
      <c r="AO49" s="19">
        <f t="shared" si="24"/>
        <v>0</v>
      </c>
      <c r="AP49" s="19">
        <f t="shared" si="24"/>
        <v>0</v>
      </c>
      <c r="AQ49" s="19">
        <f t="shared" si="24"/>
        <v>0</v>
      </c>
      <c r="AR49" s="19">
        <f t="shared" si="24"/>
        <v>0</v>
      </c>
    </row>
    <row r="50" spans="1:44">
      <c r="B50" s="1" t="s">
        <v>222</v>
      </c>
      <c r="C50" s="87" t="s">
        <v>80</v>
      </c>
      <c r="D50" s="86">
        <f>SUM(F50:AR50)</f>
        <v>2411194.104445335</v>
      </c>
      <c r="F50" s="19">
        <f t="shared" ref="F50:AR51" si="25">F39</f>
        <v>0</v>
      </c>
      <c r="G50" s="19">
        <f t="shared" si="25"/>
        <v>0</v>
      </c>
      <c r="H50" s="19">
        <f t="shared" si="25"/>
        <v>0</v>
      </c>
      <c r="I50" s="19">
        <f t="shared" si="25"/>
        <v>0</v>
      </c>
      <c r="J50" s="19">
        <f t="shared" si="25"/>
        <v>0</v>
      </c>
      <c r="K50" s="19">
        <f t="shared" si="25"/>
        <v>0</v>
      </c>
      <c r="L50" s="19">
        <f t="shared" si="25"/>
        <v>0</v>
      </c>
      <c r="M50" s="19">
        <f t="shared" si="25"/>
        <v>0</v>
      </c>
      <c r="N50" s="19">
        <f t="shared" si="25"/>
        <v>0</v>
      </c>
      <c r="O50" s="19">
        <f t="shared" si="25"/>
        <v>0</v>
      </c>
      <c r="P50" s="19">
        <f t="shared" si="25"/>
        <v>0</v>
      </c>
      <c r="Q50" s="19">
        <f t="shared" si="25"/>
        <v>0</v>
      </c>
      <c r="R50" s="19">
        <f t="shared" si="25"/>
        <v>0</v>
      </c>
      <c r="S50" s="19">
        <f t="shared" si="25"/>
        <v>0</v>
      </c>
      <c r="T50" s="19">
        <f t="shared" si="25"/>
        <v>0</v>
      </c>
      <c r="U50" s="19">
        <f t="shared" si="25"/>
        <v>0</v>
      </c>
      <c r="V50" s="19">
        <f t="shared" si="25"/>
        <v>0</v>
      </c>
      <c r="W50" s="19">
        <f t="shared" si="25"/>
        <v>0</v>
      </c>
      <c r="X50" s="19">
        <f t="shared" si="25"/>
        <v>0</v>
      </c>
      <c r="Y50" s="19">
        <f t="shared" si="25"/>
        <v>0</v>
      </c>
      <c r="Z50" s="19">
        <f t="shared" si="25"/>
        <v>0</v>
      </c>
      <c r="AA50" s="19">
        <f t="shared" si="25"/>
        <v>0</v>
      </c>
      <c r="AB50" s="19">
        <f t="shared" si="25"/>
        <v>0</v>
      </c>
      <c r="AC50" s="19">
        <f t="shared" si="25"/>
        <v>0</v>
      </c>
      <c r="AD50" s="19">
        <f t="shared" si="25"/>
        <v>0</v>
      </c>
      <c r="AE50" s="19">
        <f t="shared" si="25"/>
        <v>0</v>
      </c>
      <c r="AF50" s="19">
        <f t="shared" si="25"/>
        <v>0</v>
      </c>
      <c r="AG50" s="19">
        <f t="shared" si="25"/>
        <v>0</v>
      </c>
      <c r="AH50" s="19">
        <f t="shared" si="25"/>
        <v>2411194.104445335</v>
      </c>
      <c r="AI50" s="19">
        <f t="shared" si="25"/>
        <v>0</v>
      </c>
      <c r="AJ50" s="19">
        <f t="shared" si="25"/>
        <v>0</v>
      </c>
      <c r="AK50" s="19">
        <f t="shared" si="25"/>
        <v>0</v>
      </c>
      <c r="AL50" s="19">
        <f t="shared" si="25"/>
        <v>0</v>
      </c>
      <c r="AM50" s="19">
        <f t="shared" si="25"/>
        <v>0</v>
      </c>
      <c r="AN50" s="19">
        <f t="shared" si="25"/>
        <v>0</v>
      </c>
      <c r="AO50" s="19">
        <f t="shared" si="25"/>
        <v>0</v>
      </c>
      <c r="AP50" s="19">
        <f t="shared" si="25"/>
        <v>0</v>
      </c>
      <c r="AQ50" s="19">
        <f t="shared" si="25"/>
        <v>0</v>
      </c>
      <c r="AR50" s="19">
        <f t="shared" si="25"/>
        <v>0</v>
      </c>
    </row>
    <row r="51" spans="1:44">
      <c r="B51" s="1" t="s">
        <v>223</v>
      </c>
      <c r="C51" s="87" t="s">
        <v>80</v>
      </c>
      <c r="D51" s="86">
        <f>SUM(F51:AR51)</f>
        <v>930182.89396691404</v>
      </c>
      <c r="F51" s="19">
        <f t="shared" si="25"/>
        <v>0</v>
      </c>
      <c r="G51" s="19">
        <f t="shared" si="25"/>
        <v>0</v>
      </c>
      <c r="H51" s="19">
        <f t="shared" si="25"/>
        <v>0</v>
      </c>
      <c r="I51" s="19">
        <f t="shared" si="25"/>
        <v>0</v>
      </c>
      <c r="J51" s="19">
        <f t="shared" si="25"/>
        <v>0</v>
      </c>
      <c r="K51" s="19">
        <f t="shared" si="25"/>
        <v>0</v>
      </c>
      <c r="L51" s="19">
        <f t="shared" si="25"/>
        <v>0</v>
      </c>
      <c r="M51" s="19">
        <f t="shared" si="25"/>
        <v>0</v>
      </c>
      <c r="N51" s="19">
        <f t="shared" si="25"/>
        <v>0</v>
      </c>
      <c r="O51" s="19">
        <f t="shared" si="25"/>
        <v>0</v>
      </c>
      <c r="P51" s="19">
        <f t="shared" si="25"/>
        <v>0</v>
      </c>
      <c r="Q51" s="19">
        <f t="shared" si="25"/>
        <v>0</v>
      </c>
      <c r="R51" s="19">
        <f t="shared" si="25"/>
        <v>0</v>
      </c>
      <c r="S51" s="19">
        <f t="shared" si="25"/>
        <v>0</v>
      </c>
      <c r="T51" s="19">
        <f t="shared" si="25"/>
        <v>0</v>
      </c>
      <c r="U51" s="19">
        <f t="shared" si="25"/>
        <v>0</v>
      </c>
      <c r="V51" s="19">
        <f t="shared" si="25"/>
        <v>0</v>
      </c>
      <c r="W51" s="19">
        <f t="shared" si="25"/>
        <v>0</v>
      </c>
      <c r="X51" s="19">
        <f t="shared" si="25"/>
        <v>0</v>
      </c>
      <c r="Y51" s="19">
        <f t="shared" si="25"/>
        <v>0</v>
      </c>
      <c r="Z51" s="19">
        <f t="shared" si="25"/>
        <v>0</v>
      </c>
      <c r="AA51" s="19">
        <f t="shared" si="25"/>
        <v>0</v>
      </c>
      <c r="AB51" s="19">
        <f t="shared" si="25"/>
        <v>0</v>
      </c>
      <c r="AC51" s="19">
        <f t="shared" si="25"/>
        <v>0</v>
      </c>
      <c r="AD51" s="19">
        <f t="shared" si="25"/>
        <v>0</v>
      </c>
      <c r="AE51" s="19">
        <f t="shared" si="25"/>
        <v>0</v>
      </c>
      <c r="AF51" s="19">
        <f t="shared" si="25"/>
        <v>0</v>
      </c>
      <c r="AG51" s="19">
        <f t="shared" si="25"/>
        <v>0</v>
      </c>
      <c r="AH51" s="19">
        <f t="shared" si="25"/>
        <v>930182.89396691404</v>
      </c>
      <c r="AI51" s="19">
        <f t="shared" si="25"/>
        <v>0</v>
      </c>
      <c r="AJ51" s="19">
        <f t="shared" si="25"/>
        <v>0</v>
      </c>
      <c r="AK51" s="19">
        <f t="shared" si="25"/>
        <v>0</v>
      </c>
      <c r="AL51" s="19">
        <f t="shared" si="25"/>
        <v>0</v>
      </c>
      <c r="AM51" s="19">
        <f t="shared" si="25"/>
        <v>0</v>
      </c>
      <c r="AN51" s="19">
        <f t="shared" si="25"/>
        <v>0</v>
      </c>
      <c r="AO51" s="19">
        <f t="shared" si="25"/>
        <v>0</v>
      </c>
      <c r="AP51" s="19">
        <f t="shared" si="25"/>
        <v>0</v>
      </c>
      <c r="AQ51" s="19">
        <f t="shared" si="25"/>
        <v>0</v>
      </c>
      <c r="AR51" s="19">
        <f t="shared" si="25"/>
        <v>0</v>
      </c>
    </row>
    <row r="52" spans="1:44">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row>
    <row r="53" spans="1:44" ht="15">
      <c r="A53" s="2" t="s">
        <v>254</v>
      </c>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row>
    <row r="54" spans="1:44">
      <c r="B54" s="1" t="s">
        <v>221</v>
      </c>
      <c r="C54" s="87" t="s">
        <v>80</v>
      </c>
      <c r="D54" s="86">
        <f>SUM(F54:AR54)</f>
        <v>5048505</v>
      </c>
      <c r="F54" s="19">
        <f>F49-F44</f>
        <v>0</v>
      </c>
      <c r="G54" s="19">
        <f t="shared" ref="G54:AR54" si="26">G49-G44</f>
        <v>0</v>
      </c>
      <c r="H54" s="19">
        <f t="shared" si="26"/>
        <v>0</v>
      </c>
      <c r="I54" s="19">
        <f t="shared" si="26"/>
        <v>0</v>
      </c>
      <c r="J54" s="19">
        <f t="shared" si="26"/>
        <v>0</v>
      </c>
      <c r="K54" s="19">
        <f t="shared" si="26"/>
        <v>0</v>
      </c>
      <c r="L54" s="19">
        <f t="shared" si="26"/>
        <v>0</v>
      </c>
      <c r="M54" s="19">
        <f t="shared" si="26"/>
        <v>0</v>
      </c>
      <c r="N54" s="19">
        <f t="shared" si="26"/>
        <v>0</v>
      </c>
      <c r="O54" s="19">
        <f t="shared" si="26"/>
        <v>0</v>
      </c>
      <c r="P54" s="19">
        <f t="shared" si="26"/>
        <v>0</v>
      </c>
      <c r="Q54" s="19">
        <f t="shared" si="26"/>
        <v>0</v>
      </c>
      <c r="R54" s="19">
        <f t="shared" si="26"/>
        <v>0</v>
      </c>
      <c r="S54" s="19">
        <f t="shared" si="26"/>
        <v>0</v>
      </c>
      <c r="T54" s="19">
        <f t="shared" si="26"/>
        <v>0</v>
      </c>
      <c r="U54" s="19">
        <f t="shared" si="26"/>
        <v>0</v>
      </c>
      <c r="V54" s="19">
        <f t="shared" si="26"/>
        <v>0</v>
      </c>
      <c r="W54" s="19">
        <f t="shared" si="26"/>
        <v>0</v>
      </c>
      <c r="X54" s="19">
        <f t="shared" si="26"/>
        <v>0</v>
      </c>
      <c r="Y54" s="19">
        <f t="shared" si="26"/>
        <v>0</v>
      </c>
      <c r="Z54" s="19">
        <f t="shared" si="26"/>
        <v>0</v>
      </c>
      <c r="AA54" s="19">
        <f t="shared" si="26"/>
        <v>0</v>
      </c>
      <c r="AB54" s="19">
        <f t="shared" si="26"/>
        <v>0</v>
      </c>
      <c r="AC54" s="19">
        <f t="shared" si="26"/>
        <v>0</v>
      </c>
      <c r="AD54" s="19">
        <f t="shared" si="26"/>
        <v>0</v>
      </c>
      <c r="AE54" s="19">
        <f t="shared" si="26"/>
        <v>0</v>
      </c>
      <c r="AF54" s="19">
        <f t="shared" si="26"/>
        <v>0</v>
      </c>
      <c r="AG54" s="19">
        <f t="shared" si="26"/>
        <v>0</v>
      </c>
      <c r="AH54" s="19">
        <f t="shared" si="26"/>
        <v>5048505</v>
      </c>
      <c r="AI54" s="19">
        <f t="shared" si="26"/>
        <v>0</v>
      </c>
      <c r="AJ54" s="19">
        <f t="shared" si="26"/>
        <v>0</v>
      </c>
      <c r="AK54" s="19">
        <f t="shared" si="26"/>
        <v>0</v>
      </c>
      <c r="AL54" s="19">
        <f t="shared" si="26"/>
        <v>0</v>
      </c>
      <c r="AM54" s="19">
        <f t="shared" si="26"/>
        <v>0</v>
      </c>
      <c r="AN54" s="19">
        <f t="shared" si="26"/>
        <v>0</v>
      </c>
      <c r="AO54" s="19">
        <f t="shared" si="26"/>
        <v>0</v>
      </c>
      <c r="AP54" s="19">
        <f t="shared" si="26"/>
        <v>0</v>
      </c>
      <c r="AQ54" s="19">
        <f t="shared" si="26"/>
        <v>0</v>
      </c>
      <c r="AR54" s="19">
        <f t="shared" si="26"/>
        <v>0</v>
      </c>
    </row>
    <row r="55" spans="1:44">
      <c r="B55" s="1" t="s">
        <v>222</v>
      </c>
      <c r="C55" s="87" t="s">
        <v>80</v>
      </c>
      <c r="D55" s="86">
        <f>SUM(F55:AR55)</f>
        <v>2411194.104445335</v>
      </c>
      <c r="F55" s="19">
        <f t="shared" ref="F55:AR55" si="27">F50-F45</f>
        <v>0</v>
      </c>
      <c r="G55" s="19">
        <f t="shared" si="27"/>
        <v>0</v>
      </c>
      <c r="H55" s="19">
        <f t="shared" si="27"/>
        <v>0</v>
      </c>
      <c r="I55" s="19">
        <f t="shared" si="27"/>
        <v>0</v>
      </c>
      <c r="J55" s="19">
        <f t="shared" si="27"/>
        <v>0</v>
      </c>
      <c r="K55" s="19">
        <f t="shared" si="27"/>
        <v>0</v>
      </c>
      <c r="L55" s="19">
        <f t="shared" si="27"/>
        <v>0</v>
      </c>
      <c r="M55" s="19">
        <f t="shared" si="27"/>
        <v>0</v>
      </c>
      <c r="N55" s="19">
        <f t="shared" si="27"/>
        <v>0</v>
      </c>
      <c r="O55" s="19">
        <f t="shared" si="27"/>
        <v>0</v>
      </c>
      <c r="P55" s="19">
        <f t="shared" si="27"/>
        <v>0</v>
      </c>
      <c r="Q55" s="19">
        <f t="shared" si="27"/>
        <v>0</v>
      </c>
      <c r="R55" s="19">
        <f t="shared" si="27"/>
        <v>0</v>
      </c>
      <c r="S55" s="19">
        <f t="shared" si="27"/>
        <v>0</v>
      </c>
      <c r="T55" s="19">
        <f t="shared" si="27"/>
        <v>0</v>
      </c>
      <c r="U55" s="19">
        <f t="shared" si="27"/>
        <v>0</v>
      </c>
      <c r="V55" s="19">
        <f t="shared" si="27"/>
        <v>0</v>
      </c>
      <c r="W55" s="19">
        <f t="shared" si="27"/>
        <v>0</v>
      </c>
      <c r="X55" s="19">
        <f t="shared" si="27"/>
        <v>0</v>
      </c>
      <c r="Y55" s="19">
        <f t="shared" si="27"/>
        <v>0</v>
      </c>
      <c r="Z55" s="19">
        <f t="shared" si="27"/>
        <v>0</v>
      </c>
      <c r="AA55" s="19">
        <f t="shared" si="27"/>
        <v>0</v>
      </c>
      <c r="AB55" s="19">
        <f t="shared" si="27"/>
        <v>0</v>
      </c>
      <c r="AC55" s="19">
        <f t="shared" si="27"/>
        <v>0</v>
      </c>
      <c r="AD55" s="19">
        <f t="shared" si="27"/>
        <v>0</v>
      </c>
      <c r="AE55" s="19">
        <f t="shared" si="27"/>
        <v>0</v>
      </c>
      <c r="AF55" s="19">
        <f t="shared" si="27"/>
        <v>0</v>
      </c>
      <c r="AG55" s="19">
        <f t="shared" si="27"/>
        <v>0</v>
      </c>
      <c r="AH55" s="19">
        <f t="shared" si="27"/>
        <v>2411194.104445335</v>
      </c>
      <c r="AI55" s="19">
        <f t="shared" si="27"/>
        <v>0</v>
      </c>
      <c r="AJ55" s="19">
        <f t="shared" si="27"/>
        <v>0</v>
      </c>
      <c r="AK55" s="19">
        <f t="shared" si="27"/>
        <v>0</v>
      </c>
      <c r="AL55" s="19">
        <f t="shared" si="27"/>
        <v>0</v>
      </c>
      <c r="AM55" s="19">
        <f t="shared" si="27"/>
        <v>0</v>
      </c>
      <c r="AN55" s="19">
        <f t="shared" si="27"/>
        <v>0</v>
      </c>
      <c r="AO55" s="19">
        <f t="shared" si="27"/>
        <v>0</v>
      </c>
      <c r="AP55" s="19">
        <f t="shared" si="27"/>
        <v>0</v>
      </c>
      <c r="AQ55" s="19">
        <f t="shared" si="27"/>
        <v>0</v>
      </c>
      <c r="AR55" s="19">
        <f t="shared" si="27"/>
        <v>0</v>
      </c>
    </row>
    <row r="56" spans="1:44">
      <c r="B56" s="1" t="s">
        <v>223</v>
      </c>
      <c r="C56" s="87" t="s">
        <v>80</v>
      </c>
      <c r="D56" s="86">
        <f>SUM(F56:AR56)</f>
        <v>930182.89396691404</v>
      </c>
      <c r="F56" s="19">
        <f t="shared" ref="F56:AR56" si="28">F51-F46</f>
        <v>0</v>
      </c>
      <c r="G56" s="19">
        <f t="shared" si="28"/>
        <v>0</v>
      </c>
      <c r="H56" s="19">
        <f t="shared" si="28"/>
        <v>0</v>
      </c>
      <c r="I56" s="19">
        <f t="shared" si="28"/>
        <v>0</v>
      </c>
      <c r="J56" s="19">
        <f t="shared" si="28"/>
        <v>0</v>
      </c>
      <c r="K56" s="19">
        <f t="shared" si="28"/>
        <v>0</v>
      </c>
      <c r="L56" s="19">
        <f t="shared" si="28"/>
        <v>0</v>
      </c>
      <c r="M56" s="19">
        <f t="shared" si="28"/>
        <v>0</v>
      </c>
      <c r="N56" s="19">
        <f t="shared" si="28"/>
        <v>0</v>
      </c>
      <c r="O56" s="19">
        <f t="shared" si="28"/>
        <v>0</v>
      </c>
      <c r="P56" s="19">
        <f t="shared" si="28"/>
        <v>0</v>
      </c>
      <c r="Q56" s="19">
        <f t="shared" si="28"/>
        <v>0</v>
      </c>
      <c r="R56" s="19">
        <f t="shared" si="28"/>
        <v>0</v>
      </c>
      <c r="S56" s="19">
        <f t="shared" si="28"/>
        <v>0</v>
      </c>
      <c r="T56" s="19">
        <f t="shared" si="28"/>
        <v>0</v>
      </c>
      <c r="U56" s="19">
        <f t="shared" si="28"/>
        <v>0</v>
      </c>
      <c r="V56" s="19">
        <f t="shared" si="28"/>
        <v>0</v>
      </c>
      <c r="W56" s="19">
        <f t="shared" si="28"/>
        <v>0</v>
      </c>
      <c r="X56" s="19">
        <f t="shared" si="28"/>
        <v>0</v>
      </c>
      <c r="Y56" s="19">
        <f t="shared" si="28"/>
        <v>0</v>
      </c>
      <c r="Z56" s="19">
        <f t="shared" si="28"/>
        <v>0</v>
      </c>
      <c r="AA56" s="19">
        <f t="shared" si="28"/>
        <v>0</v>
      </c>
      <c r="AB56" s="19">
        <f t="shared" si="28"/>
        <v>0</v>
      </c>
      <c r="AC56" s="19">
        <f t="shared" si="28"/>
        <v>0</v>
      </c>
      <c r="AD56" s="19">
        <f t="shared" si="28"/>
        <v>0</v>
      </c>
      <c r="AE56" s="19">
        <f t="shared" si="28"/>
        <v>0</v>
      </c>
      <c r="AF56" s="19">
        <f t="shared" si="28"/>
        <v>0</v>
      </c>
      <c r="AG56" s="19">
        <f t="shared" si="28"/>
        <v>0</v>
      </c>
      <c r="AH56" s="19">
        <f t="shared" si="28"/>
        <v>930182.89396691404</v>
      </c>
      <c r="AI56" s="19">
        <f t="shared" si="28"/>
        <v>0</v>
      </c>
      <c r="AJ56" s="19">
        <f t="shared" si="28"/>
        <v>0</v>
      </c>
      <c r="AK56" s="19">
        <f t="shared" si="28"/>
        <v>0</v>
      </c>
      <c r="AL56" s="19">
        <f t="shared" si="28"/>
        <v>0</v>
      </c>
      <c r="AM56" s="19">
        <f t="shared" si="28"/>
        <v>0</v>
      </c>
      <c r="AN56" s="19">
        <f t="shared" si="28"/>
        <v>0</v>
      </c>
      <c r="AO56" s="19">
        <f t="shared" si="28"/>
        <v>0</v>
      </c>
      <c r="AP56" s="19">
        <f t="shared" si="28"/>
        <v>0</v>
      </c>
      <c r="AQ56" s="19">
        <f t="shared" si="28"/>
        <v>0</v>
      </c>
      <c r="AR56" s="19">
        <f t="shared" si="28"/>
        <v>0</v>
      </c>
    </row>
    <row r="57" spans="1:44">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row>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B101D-49ED-4BA3-B8EC-33D6A4E87A9B}">
  <sheetPr>
    <tabColor rgb="FF7030A0"/>
  </sheetPr>
  <dimension ref="B2:AJ71"/>
  <sheetViews>
    <sheetView zoomScale="85" zoomScaleNormal="85" workbookViewId="0">
      <selection activeCell="AI28" sqref="AI28"/>
    </sheetView>
  </sheetViews>
  <sheetFormatPr defaultRowHeight="15"/>
  <cols>
    <col min="2" max="2" width="48" customWidth="1"/>
    <col min="3" max="3" width="45.28515625" customWidth="1"/>
    <col min="4" max="4" width="39" customWidth="1"/>
    <col min="5" max="5" width="28.85546875" customWidth="1"/>
    <col min="6" max="6" width="16.85546875" customWidth="1"/>
    <col min="7" max="7" width="11.42578125" customWidth="1"/>
    <col min="9" max="9" width="32.7109375" customWidth="1"/>
    <col min="10" max="10" width="20.140625" customWidth="1"/>
    <col min="11" max="11" width="22" customWidth="1"/>
    <col min="12" max="12" width="21.28515625" customWidth="1"/>
    <col min="14" max="14" width="38.85546875" bestFit="1" customWidth="1"/>
    <col min="15" max="15" width="14.42578125" customWidth="1"/>
    <col min="16" max="16" width="12" customWidth="1"/>
    <col min="17" max="17" width="39.28515625" customWidth="1"/>
    <col min="21" max="21" width="27.42578125" bestFit="1" customWidth="1"/>
    <col min="22" max="29" width="9.7109375" customWidth="1"/>
    <col min="30" max="30" width="11.5703125" bestFit="1" customWidth="1"/>
    <col min="32" max="32" width="21.7109375" bestFit="1" customWidth="1"/>
    <col min="33" max="33" width="27.140625" bestFit="1" customWidth="1"/>
    <col min="34" max="36" width="17.42578125" customWidth="1"/>
    <col min="37" max="37" width="13.140625" customWidth="1"/>
  </cols>
  <sheetData>
    <row r="2" spans="2:36">
      <c r="B2" t="s">
        <v>332</v>
      </c>
    </row>
    <row r="3" spans="2:36" ht="52.5" customHeight="1">
      <c r="B3" s="381" t="s">
        <v>333</v>
      </c>
      <c r="C3" s="381" t="s">
        <v>334</v>
      </c>
      <c r="D3" s="381" t="s">
        <v>335</v>
      </c>
      <c r="E3" s="381" t="s">
        <v>336</v>
      </c>
      <c r="F3" s="381" t="s">
        <v>337</v>
      </c>
    </row>
    <row r="4" spans="2:36" ht="45">
      <c r="B4" s="418" t="s">
        <v>338</v>
      </c>
      <c r="C4" s="418" t="s">
        <v>339</v>
      </c>
      <c r="D4" s="382" t="s">
        <v>340</v>
      </c>
      <c r="E4" s="382" t="s">
        <v>341</v>
      </c>
      <c r="F4" s="383">
        <f>Summary!E13</f>
        <v>1.5128860077103714</v>
      </c>
    </row>
    <row r="5" spans="2:36" ht="60">
      <c r="B5" s="418"/>
      <c r="C5" s="418"/>
      <c r="D5" s="382" t="s">
        <v>342</v>
      </c>
      <c r="E5" s="382" t="s">
        <v>343</v>
      </c>
      <c r="F5" s="383">
        <f>Summary!E14</f>
        <v>17.616038034647705</v>
      </c>
    </row>
    <row r="6" spans="2:36" ht="45">
      <c r="B6" s="418"/>
      <c r="C6" s="418"/>
      <c r="D6" s="382" t="s">
        <v>344</v>
      </c>
      <c r="E6" s="382" t="s">
        <v>341</v>
      </c>
      <c r="F6" s="383">
        <f>Summary!E15</f>
        <v>0.70383083269149971</v>
      </c>
    </row>
    <row r="7" spans="2:36" ht="45">
      <c r="B7" s="418"/>
      <c r="C7" s="418"/>
      <c r="D7" s="382" t="s">
        <v>345</v>
      </c>
      <c r="E7" s="382" t="s">
        <v>346</v>
      </c>
      <c r="F7" s="383">
        <f>Summary!E16</f>
        <v>7.0413768541386687E-2</v>
      </c>
    </row>
    <row r="8" spans="2:36" ht="60">
      <c r="B8" s="418"/>
      <c r="C8" s="418"/>
      <c r="D8" s="382" t="s">
        <v>347</v>
      </c>
      <c r="E8" s="382" t="s">
        <v>348</v>
      </c>
      <c r="F8" s="383">
        <f>Summary!E17</f>
        <v>0.81528095944975787</v>
      </c>
    </row>
    <row r="9" spans="2:36" ht="75">
      <c r="B9" s="418"/>
      <c r="C9" s="418"/>
      <c r="D9" s="382" t="s">
        <v>349</v>
      </c>
      <c r="E9" s="382" t="s">
        <v>350</v>
      </c>
      <c r="F9" s="383">
        <f>Summary!E18</f>
        <v>1.1356429256437376E-2</v>
      </c>
    </row>
    <row r="10" spans="2:36" ht="60">
      <c r="B10" s="418"/>
      <c r="C10" s="418"/>
      <c r="D10" s="382" t="s">
        <v>351</v>
      </c>
      <c r="E10" s="382" t="s">
        <v>352</v>
      </c>
      <c r="F10" s="383">
        <f>Summary!E19</f>
        <v>0.930182893966914</v>
      </c>
    </row>
    <row r="11" spans="2:36">
      <c r="B11" s="421" t="s">
        <v>276</v>
      </c>
      <c r="C11" s="421"/>
      <c r="D11" s="421"/>
      <c r="E11" s="421"/>
      <c r="F11" s="384">
        <f>SUM(F4:F10)</f>
        <v>21.65998892626407</v>
      </c>
    </row>
    <row r="12" spans="2:36">
      <c r="B12" s="376"/>
      <c r="C12" s="376"/>
      <c r="D12" s="346"/>
      <c r="E12" s="346"/>
      <c r="F12" s="345"/>
    </row>
    <row r="13" spans="2:36">
      <c r="AG13" t="s">
        <v>353</v>
      </c>
      <c r="AH13">
        <f>Summary!E33</f>
        <v>7.0410706654555284</v>
      </c>
      <c r="AJ13" s="102">
        <f>Summary!E9</f>
        <v>1.4816410174706116</v>
      </c>
    </row>
    <row r="14" spans="2:36">
      <c r="I14" s="332" t="s">
        <v>354</v>
      </c>
      <c r="J14" s="331"/>
      <c r="K14" s="331"/>
      <c r="L14" s="331"/>
      <c r="N14" s="332" t="s">
        <v>355</v>
      </c>
      <c r="O14" s="331"/>
      <c r="P14" s="331"/>
      <c r="Q14" s="331"/>
      <c r="AG14" t="s">
        <v>356</v>
      </c>
      <c r="AH14">
        <v>7.0410706654555284</v>
      </c>
      <c r="AJ14">
        <v>1.4816410174706116</v>
      </c>
    </row>
    <row r="15" spans="2:36" ht="29.25" customHeight="1">
      <c r="D15" s="346"/>
      <c r="I15" s="334" t="s">
        <v>357</v>
      </c>
      <c r="J15" s="335" t="s">
        <v>221</v>
      </c>
      <c r="K15" s="335" t="s">
        <v>358</v>
      </c>
      <c r="L15" s="336" t="s">
        <v>359</v>
      </c>
      <c r="N15" s="385" t="str">
        <f>Inputs!C10</f>
        <v>Variable</v>
      </c>
      <c r="O15" s="385" t="str">
        <f>Inputs!D10</f>
        <v>Unit</v>
      </c>
      <c r="P15" s="385" t="str">
        <f>Inputs!E10</f>
        <v>Value</v>
      </c>
      <c r="Q15" s="385" t="str">
        <f>Inputs!F10</f>
        <v xml:space="preserve">Source </v>
      </c>
      <c r="U15" s="419" t="s">
        <v>360</v>
      </c>
      <c r="V15" s="414">
        <f>'REF Traffic'!W3</f>
        <v>2023</v>
      </c>
      <c r="W15" s="414"/>
      <c r="X15" s="414">
        <f>'REF Traffic'!Y3</f>
        <v>2046</v>
      </c>
      <c r="Y15" s="414"/>
      <c r="AA15" s="414" t="s">
        <v>361</v>
      </c>
      <c r="AB15" s="414"/>
      <c r="AC15" s="414"/>
      <c r="AD15" s="385" t="s">
        <v>362</v>
      </c>
      <c r="AF15" s="385" t="s">
        <v>363</v>
      </c>
      <c r="AG15" s="385" t="s">
        <v>364</v>
      </c>
      <c r="AH15" s="385" t="s">
        <v>365</v>
      </c>
      <c r="AI15" s="385" t="s">
        <v>366</v>
      </c>
      <c r="AJ15" s="385" t="s">
        <v>367</v>
      </c>
    </row>
    <row r="16" spans="2:36">
      <c r="I16" s="337" t="s">
        <v>368</v>
      </c>
      <c r="J16" s="339">
        <f>Summary!C20</f>
        <v>64.265463889794901</v>
      </c>
      <c r="K16" s="339">
        <f>Summary!D20</f>
        <v>39.165084370372625</v>
      </c>
      <c r="L16" s="339">
        <f>Summary!E20</f>
        <v>21.65998892626407</v>
      </c>
      <c r="N16" s="347" t="str">
        <f>Inputs!C57</f>
        <v>Non-incapacitating injuries or possible injury</v>
      </c>
      <c r="O16" s="347" t="str">
        <f>Inputs!D57</f>
        <v>Incidents/year</v>
      </c>
      <c r="P16" s="351">
        <f>Inputs!E57</f>
        <v>1.7777777777777777</v>
      </c>
      <c r="Q16" s="347" t="str">
        <f>Inputs!F57</f>
        <v>ODOT Data</v>
      </c>
      <c r="U16" s="420"/>
      <c r="V16" s="385" t="str">
        <f>'REF Traffic'!W4</f>
        <v>AM</v>
      </c>
      <c r="W16" s="385" t="str">
        <f>'REF Traffic'!X4</f>
        <v>PM</v>
      </c>
      <c r="X16" s="385" t="str">
        <f>'REF Traffic'!Y4</f>
        <v xml:space="preserve">AM </v>
      </c>
      <c r="Y16" s="385" t="str">
        <f>'REF Traffic'!Z4</f>
        <v>PM</v>
      </c>
      <c r="AA16" s="423" t="s">
        <v>369</v>
      </c>
      <c r="AB16" s="424"/>
      <c r="AC16" s="389">
        <v>2023</v>
      </c>
      <c r="AD16" s="422" t="s">
        <v>370</v>
      </c>
      <c r="AF16" s="413" t="s">
        <v>371</v>
      </c>
      <c r="AG16" s="347" t="s">
        <v>372</v>
      </c>
      <c r="AH16" s="378">
        <v>5.3510943868297929</v>
      </c>
      <c r="AI16" s="377">
        <f t="shared" ref="AI16:AI22" si="0">(AH16-$AH$14)/$AH$14</f>
        <v>-0.24001694613249575</v>
      </c>
      <c r="AJ16" s="351">
        <v>1.3660390113251673</v>
      </c>
    </row>
    <row r="17" spans="9:36">
      <c r="I17" s="337" t="s">
        <v>373</v>
      </c>
      <c r="J17" s="340">
        <f>Summary!C26</f>
        <v>3.4940299751419746</v>
      </c>
      <c r="K17" s="340">
        <f>Summary!D26</f>
        <v>2.1614095324769913</v>
      </c>
      <c r="L17" s="341">
        <f>Summary!E26</f>
        <v>1.2168847841468935</v>
      </c>
      <c r="N17" s="347" t="str">
        <f>Inputs!C58</f>
        <v>PDO</v>
      </c>
      <c r="O17" s="347" t="str">
        <f>Inputs!D58</f>
        <v>Incidents/year</v>
      </c>
      <c r="P17" s="351">
        <f>Inputs!E58</f>
        <v>2</v>
      </c>
      <c r="Q17" s="347" t="str">
        <f>Inputs!F58</f>
        <v>ODOT Data</v>
      </c>
      <c r="U17" s="387" t="s">
        <v>374</v>
      </c>
      <c r="V17" s="387">
        <f>'REF Traffic'!W5</f>
        <v>47</v>
      </c>
      <c r="W17" s="387">
        <f>'REF Traffic'!X5</f>
        <v>44</v>
      </c>
      <c r="X17" s="387">
        <f>'REF Traffic'!Y5</f>
        <v>179</v>
      </c>
      <c r="Y17" s="387">
        <f>'REF Traffic'!Z5</f>
        <v>249</v>
      </c>
      <c r="AA17" s="423" t="s">
        <v>375</v>
      </c>
      <c r="AB17" s="424"/>
      <c r="AC17" s="390">
        <v>68.5</v>
      </c>
      <c r="AD17" s="422"/>
      <c r="AE17" s="373"/>
      <c r="AF17" s="413"/>
      <c r="AG17" s="347" t="s">
        <v>376</v>
      </c>
      <c r="AH17" s="378">
        <v>8.7310469440812639</v>
      </c>
      <c r="AI17" s="377">
        <f t="shared" si="0"/>
        <v>0.24001694613249575</v>
      </c>
      <c r="AJ17" s="351">
        <v>1.5972430236160557</v>
      </c>
    </row>
    <row r="18" spans="9:36">
      <c r="I18" s="337" t="s">
        <v>377</v>
      </c>
      <c r="J18" s="340">
        <f>Summary!C25</f>
        <v>-21.531547411351429</v>
      </c>
      <c r="K18" s="340">
        <f>Summary!D25</f>
        <v>-18.822812166416753</v>
      </c>
      <c r="L18" s="341">
        <f>Summary!E25</f>
        <v>-15.835803044955435</v>
      </c>
      <c r="N18" s="347" t="str">
        <f>Inputs!C59</f>
        <v>Total Crashes</v>
      </c>
      <c r="O18" s="347" t="str">
        <f>Inputs!D59</f>
        <v>Incidents/year</v>
      </c>
      <c r="P18" s="351">
        <f>Inputs!E59</f>
        <v>3.7777777777777777</v>
      </c>
      <c r="Q18" s="347" t="str">
        <f>Inputs!F59</f>
        <v>ODOT Data</v>
      </c>
      <c r="U18" s="387" t="s">
        <v>378</v>
      </c>
      <c r="V18" s="387">
        <f>'REF Traffic'!W6</f>
        <v>27</v>
      </c>
      <c r="W18" s="387">
        <f>'REF Traffic'!X6</f>
        <v>32</v>
      </c>
      <c r="X18" s="387">
        <f>'REF Traffic'!Y6</f>
        <v>85</v>
      </c>
      <c r="Y18" s="387">
        <f>'REF Traffic'!Z6</f>
        <v>145</v>
      </c>
      <c r="AF18" s="413" t="s">
        <v>379</v>
      </c>
      <c r="AG18" s="347" t="s">
        <v>372</v>
      </c>
      <c r="AH18" s="378">
        <v>5.3510943868297929</v>
      </c>
      <c r="AI18" s="377">
        <f t="shared" si="0"/>
        <v>-0.24001694613249575</v>
      </c>
      <c r="AJ18" s="351">
        <v>1.3660390113251673</v>
      </c>
    </row>
    <row r="19" spans="9:36">
      <c r="I19" s="337" t="s">
        <v>27</v>
      </c>
      <c r="J19" s="338">
        <f>Summary!C33</f>
        <v>46.227946453585446</v>
      </c>
      <c r="K19" s="338">
        <f>Summary!D33</f>
        <v>22.503681736432863</v>
      </c>
      <c r="L19" s="339">
        <f>Summary!E33</f>
        <v>7.0410706654555284</v>
      </c>
      <c r="N19" s="347" t="str">
        <f>Inputs!C60</f>
        <v>Base Year</v>
      </c>
      <c r="O19" s="347" t="str">
        <f>Inputs!D60</f>
        <v>year</v>
      </c>
      <c r="P19" s="347">
        <f>Inputs!E60</f>
        <v>2021</v>
      </c>
      <c r="Q19" s="347" t="str">
        <f>Inputs!F60</f>
        <v>ODOT Data</v>
      </c>
      <c r="U19" s="387" t="s">
        <v>380</v>
      </c>
      <c r="V19" s="387">
        <f>'REF Traffic'!W7</f>
        <v>20</v>
      </c>
      <c r="W19" s="387">
        <f>'REF Traffic'!X7</f>
        <v>12</v>
      </c>
      <c r="X19" s="387">
        <f>'REF Traffic'!Y7</f>
        <v>94</v>
      </c>
      <c r="Y19" s="387">
        <f>'REF Traffic'!Z7</f>
        <v>104</v>
      </c>
      <c r="AF19" s="413"/>
      <c r="AG19" s="347" t="s">
        <v>376</v>
      </c>
      <c r="AH19" s="378">
        <v>8.7310469440812639</v>
      </c>
      <c r="AI19" s="377">
        <f t="shared" si="0"/>
        <v>0.24001694613249575</v>
      </c>
      <c r="AJ19" s="351">
        <v>1.5972430236160557</v>
      </c>
    </row>
    <row r="20" spans="9:36">
      <c r="I20" s="337" t="s">
        <v>381</v>
      </c>
      <c r="J20" s="342">
        <f>Summary!C34</f>
        <v>3.5628774368242633</v>
      </c>
      <c r="K20" s="342">
        <f>Summary!D34</f>
        <v>2.3506474953430518</v>
      </c>
      <c r="L20" s="343">
        <f>Summary!E34</f>
        <v>1.4816410174706116</v>
      </c>
      <c r="N20" s="347" t="str">
        <f>Inputs!C61</f>
        <v>Non-incapacitating injuries or possible injury</v>
      </c>
      <c r="O20" s="347" t="str">
        <f>Inputs!D61</f>
        <v>$/incident</v>
      </c>
      <c r="P20" s="352">
        <f>Inputs!E61</f>
        <v>153700</v>
      </c>
      <c r="Q20" s="347" t="str">
        <f>Inputs!F61</f>
        <v>BCA Guidelines Table A-1</v>
      </c>
      <c r="AF20" s="413" t="s">
        <v>252</v>
      </c>
      <c r="AG20" s="347" t="s">
        <v>372</v>
      </c>
      <c r="AH20" s="378">
        <v>6.8090591716935904</v>
      </c>
      <c r="AI20" s="377">
        <f t="shared" si="0"/>
        <v>-3.2951166773573036E-2</v>
      </c>
      <c r="AJ20" s="351">
        <v>1.465770383978944</v>
      </c>
    </row>
    <row r="21" spans="9:36">
      <c r="I21" s="344" t="s">
        <v>30</v>
      </c>
      <c r="J21" s="415">
        <f>Summary!C36</f>
        <v>0.11143482451353126</v>
      </c>
      <c r="K21" s="416"/>
      <c r="L21" s="417"/>
      <c r="N21" s="347" t="str">
        <f>Inputs!C62</f>
        <v>PDO</v>
      </c>
      <c r="O21" s="347" t="str">
        <f>Inputs!D62</f>
        <v>$/incident</v>
      </c>
      <c r="P21" s="352">
        <f>Inputs!E62</f>
        <v>4800</v>
      </c>
      <c r="Q21" s="347" t="str">
        <f>Inputs!F62</f>
        <v>BCA Guidelines Table A-2</v>
      </c>
      <c r="AF21" s="413"/>
      <c r="AG21" s="347" t="s">
        <v>376</v>
      </c>
      <c r="AH21" s="378">
        <v>7.2730821592174735</v>
      </c>
      <c r="AI21" s="377">
        <f t="shared" si="0"/>
        <v>3.2951166773574042E-2</v>
      </c>
      <c r="AJ21" s="351">
        <v>1.4975116509622795</v>
      </c>
    </row>
    <row r="22" spans="9:36">
      <c r="U22" t="s">
        <v>382</v>
      </c>
      <c r="AF22" s="375" t="s">
        <v>210</v>
      </c>
      <c r="AG22" s="347" t="s">
        <v>383</v>
      </c>
      <c r="AH22" s="378">
        <v>12.195960856807847</v>
      </c>
      <c r="AI22" s="377">
        <f t="shared" si="0"/>
        <v>0.73211737763731399</v>
      </c>
      <c r="AJ22" s="351">
        <v>1.8342587761437634</v>
      </c>
    </row>
    <row r="23" spans="9:36">
      <c r="U23" s="1" t="s">
        <v>384</v>
      </c>
      <c r="V23" s="106">
        <f>('Time Savings'!AH$61-'Time Savings'!AH$98)*'Time Savings'!AH$11*'Time Savings'!AH15</f>
        <v>1092912.8570552943</v>
      </c>
      <c r="W23" s="73">
        <f>V23/'Time Savings'!$AH$105</f>
        <v>0.32463332280173829</v>
      </c>
      <c r="AF23" s="413" t="s">
        <v>22</v>
      </c>
      <c r="AG23" s="347" t="s">
        <v>372</v>
      </c>
      <c r="AH23" s="378">
        <v>9.971087043463422</v>
      </c>
      <c r="AI23" s="377">
        <f t="shared" ref="AI23:AI24" si="1">(AH23-$AH$14)/$AH$14</f>
        <v>0.416132221535989</v>
      </c>
      <c r="AJ23" s="351">
        <v>1.8530388177982002</v>
      </c>
    </row>
    <row r="24" spans="9:36">
      <c r="I24" s="332" t="s">
        <v>385</v>
      </c>
      <c r="J24" s="331"/>
      <c r="K24" s="331"/>
      <c r="L24" s="331"/>
      <c r="U24" s="1" t="s">
        <v>386</v>
      </c>
      <c r="V24" s="106">
        <f>('Time Savings'!AH$48-'Time Savings'!AH$86)*'Time Savings'!AH$11*'Time Savings'!AH15</f>
        <v>2273694.2664000001</v>
      </c>
      <c r="W24" s="73">
        <f>V24/'Time Savings'!$AH$105</f>
        <v>0.6753666771982616</v>
      </c>
      <c r="AF24" s="413"/>
      <c r="AG24" s="347" t="s">
        <v>376</v>
      </c>
      <c r="AH24" s="378">
        <v>4.1110542874476366</v>
      </c>
      <c r="AI24" s="377">
        <f t="shared" si="1"/>
        <v>-0.41613222153598878</v>
      </c>
      <c r="AJ24" s="351">
        <v>1.2342623282871206</v>
      </c>
    </row>
    <row r="25" spans="9:36" ht="28.5">
      <c r="I25" s="385" t="s">
        <v>387</v>
      </c>
      <c r="J25" s="386" t="s">
        <v>221</v>
      </c>
      <c r="K25" s="386" t="s">
        <v>358</v>
      </c>
      <c r="L25" s="386" t="s">
        <v>359</v>
      </c>
    </row>
    <row r="26" spans="9:36">
      <c r="I26" s="347" t="str">
        <f>Summary!B25</f>
        <v>Capital Cost</v>
      </c>
      <c r="J26" s="380">
        <f>-Summary!C25</f>
        <v>21.531547411351429</v>
      </c>
      <c r="K26" s="380">
        <f>-Summary!D25</f>
        <v>18.822812166416753</v>
      </c>
      <c r="L26" s="380">
        <f>-Summary!E25</f>
        <v>15.835803044955435</v>
      </c>
    </row>
    <row r="27" spans="9:36">
      <c r="I27" s="347" t="s">
        <v>388</v>
      </c>
      <c r="J27" s="380">
        <f>-Summary!C26</f>
        <v>-3.4940299751419746</v>
      </c>
      <c r="K27" s="380">
        <f>-Summary!D26</f>
        <v>-2.1614095324769913</v>
      </c>
      <c r="L27" s="380">
        <f>-Summary!E26</f>
        <v>-1.2168847841468935</v>
      </c>
    </row>
    <row r="28" spans="9:36">
      <c r="I28" s="348" t="s">
        <v>33</v>
      </c>
      <c r="J28" s="350">
        <f>SUM(J26:J27)</f>
        <v>18.037517436209455</v>
      </c>
      <c r="K28" s="350">
        <f>SUM(K26:K27)</f>
        <v>16.661402633939762</v>
      </c>
      <c r="L28" s="350">
        <f>SUM(L26:L27)</f>
        <v>14.618918260808542</v>
      </c>
    </row>
    <row r="30" spans="9:36">
      <c r="I30" s="332" t="s">
        <v>389</v>
      </c>
      <c r="J30" s="331"/>
      <c r="K30" s="331"/>
      <c r="L30" s="331"/>
    </row>
    <row r="31" spans="9:36" ht="28.5">
      <c r="I31" s="385" t="s">
        <v>357</v>
      </c>
      <c r="J31" s="386" t="s">
        <v>221</v>
      </c>
      <c r="K31" s="386" t="s">
        <v>358</v>
      </c>
      <c r="L31" s="386" t="s">
        <v>359</v>
      </c>
      <c r="AG31" s="374" t="s">
        <v>364</v>
      </c>
      <c r="AH31" s="374" t="s">
        <v>365</v>
      </c>
      <c r="AI31" s="374" t="s">
        <v>366</v>
      </c>
      <c r="AJ31" s="374" t="s">
        <v>367</v>
      </c>
    </row>
    <row r="32" spans="9:36">
      <c r="I32" s="347" t="str">
        <f>Summary!B13</f>
        <v>Safety Benefits</v>
      </c>
      <c r="J32" s="380">
        <f>Summary!C13</f>
        <v>4.1542590529388841</v>
      </c>
      <c r="K32" s="380">
        <f>Summary!D13</f>
        <v>2.6228852955027802</v>
      </c>
      <c r="L32" s="380">
        <f>Summary!E13</f>
        <v>1.5128860077103714</v>
      </c>
      <c r="AG32" s="347" t="s">
        <v>190</v>
      </c>
      <c r="AH32" s="378" t="s">
        <v>191</v>
      </c>
      <c r="AI32" s="377">
        <v>10</v>
      </c>
      <c r="AJ32" s="351">
        <v>1.3660390113251673</v>
      </c>
    </row>
    <row r="33" spans="9:36">
      <c r="I33" s="347" t="str">
        <f>Summary!B14</f>
        <v xml:space="preserve">Travel Time </v>
      </c>
      <c r="J33" s="380">
        <f>Summary!C14</f>
        <v>50.506992748870616</v>
      </c>
      <c r="K33" s="380">
        <f>Summary!D14</f>
        <v>31.299677067725412</v>
      </c>
      <c r="L33" s="380">
        <f>Summary!E14</f>
        <v>17.616038034647705</v>
      </c>
      <c r="AG33" s="347" t="s">
        <v>193</v>
      </c>
      <c r="AH33" s="378" t="s">
        <v>194</v>
      </c>
      <c r="AI33" s="377">
        <v>4</v>
      </c>
      <c r="AJ33" s="351">
        <v>1.5972430236160557</v>
      </c>
    </row>
    <row r="34" spans="9:36">
      <c r="I34" s="347" t="str">
        <f>Summary!B15</f>
        <v>Reduced Vehicle Operating Costs</v>
      </c>
      <c r="J34" s="380">
        <f>Summary!C15</f>
        <v>2.1339633149452544</v>
      </c>
      <c r="K34" s="380">
        <f>Summary!D15</f>
        <v>1.2915852472634795</v>
      </c>
      <c r="L34" s="380">
        <f>Summary!E15</f>
        <v>0.70383083269149971</v>
      </c>
      <c r="AG34" s="347" t="s">
        <v>195</v>
      </c>
      <c r="AH34" s="378" t="s">
        <v>191</v>
      </c>
      <c r="AI34" s="377">
        <v>276</v>
      </c>
      <c r="AJ34" s="351">
        <v>1.3660390113251673</v>
      </c>
    </row>
    <row r="35" spans="9:36">
      <c r="I35" s="347" t="str">
        <f>Summary!B16</f>
        <v>Emissions Reduction*</v>
      </c>
      <c r="J35" s="380">
        <f>Summary!C16</f>
        <v>0.20733853898478286</v>
      </c>
      <c r="K35" s="380">
        <f>Summary!D16</f>
        <v>0.1261864509889758</v>
      </c>
      <c r="L35" s="380">
        <f>Summary!E16</f>
        <v>7.0413768541386687E-2</v>
      </c>
      <c r="N35" s="332" t="s">
        <v>18</v>
      </c>
      <c r="AG35" s="347" t="s">
        <v>196</v>
      </c>
      <c r="AH35" s="378" t="s">
        <v>197</v>
      </c>
      <c r="AI35" s="377">
        <v>3.6231884057971016E-2</v>
      </c>
      <c r="AJ35" s="351">
        <v>1.5972430236160557</v>
      </c>
    </row>
    <row r="36" spans="9:36">
      <c r="I36" s="347" t="str">
        <f>Summary!B17</f>
        <v>Pedestrian / Cycling Improvements</v>
      </c>
      <c r="J36" s="380">
        <f>Summary!C17</f>
        <v>2.1843354623162337</v>
      </c>
      <c r="K36" s="380">
        <f>Summary!D17</f>
        <v>1.3942612731173656</v>
      </c>
      <c r="L36" s="380">
        <f>Summary!E17</f>
        <v>0.81528095944975787</v>
      </c>
      <c r="N36" s="385" t="s">
        <v>42</v>
      </c>
      <c r="O36" s="385" t="s">
        <v>43</v>
      </c>
      <c r="P36" s="385" t="s">
        <v>44</v>
      </c>
      <c r="Q36" s="385" t="s">
        <v>390</v>
      </c>
      <c r="U36" s="165" t="s">
        <v>391</v>
      </c>
      <c r="AG36" s="347" t="s">
        <v>196</v>
      </c>
      <c r="AH36" s="378" t="s">
        <v>198</v>
      </c>
      <c r="AI36" s="377">
        <v>9.057971014492754E-3</v>
      </c>
      <c r="AJ36" s="351">
        <v>1.465770383978944</v>
      </c>
    </row>
    <row r="37" spans="9:36">
      <c r="I37" s="347" t="str">
        <f>Summary!B18</f>
        <v>Reduced Bridge Hits</v>
      </c>
      <c r="J37" s="380">
        <f>Summary!C18</f>
        <v>3.0069771739130443E-2</v>
      </c>
      <c r="K37" s="380">
        <f>Summary!D18</f>
        <v>1.9294931329275081E-2</v>
      </c>
      <c r="L37" s="380">
        <f>Summary!E18</f>
        <v>1.1356429256437376E-2</v>
      </c>
      <c r="N37" s="347" t="str">
        <f>Inputs!C38</f>
        <v>Residual Life (Project Bridge Cost)</v>
      </c>
      <c r="O37" s="347" t="str">
        <f>Inputs!D38</f>
        <v>$</v>
      </c>
      <c r="P37" s="352">
        <f>Inputs!E38</f>
        <v>6884325</v>
      </c>
      <c r="Q37" s="347" t="str">
        <f>Inputs!F38</f>
        <v>Bridge Costs Provided from ODOT</v>
      </c>
      <c r="U37" s="414" t="s">
        <v>392</v>
      </c>
      <c r="V37" s="414">
        <v>2023</v>
      </c>
      <c r="W37" s="414"/>
      <c r="X37" s="414">
        <v>2046</v>
      </c>
      <c r="Y37" s="414"/>
      <c r="AG37" s="347" t="s">
        <v>199</v>
      </c>
      <c r="AH37" s="378" t="s">
        <v>80</v>
      </c>
      <c r="AI37" s="377">
        <v>0</v>
      </c>
      <c r="AJ37" s="351">
        <v>1.4975116509622795</v>
      </c>
    </row>
    <row r="38" spans="9:36">
      <c r="I38" s="347" t="str">
        <f>Summary!B19</f>
        <v>Residual Value</v>
      </c>
      <c r="J38" s="380">
        <f>Summary!C19</f>
        <v>5.0485049999999996</v>
      </c>
      <c r="K38" s="380">
        <f>Summary!D19</f>
        <v>2.4111941044453351</v>
      </c>
      <c r="L38" s="380">
        <f>Summary!E19</f>
        <v>0.930182893966914</v>
      </c>
      <c r="N38" s="347" t="str">
        <f>Inputs!C39</f>
        <v>Useful Life</v>
      </c>
      <c r="O38" s="347" t="str">
        <f>Inputs!D39</f>
        <v>Years</v>
      </c>
      <c r="P38" s="347">
        <f>Inputs!E39</f>
        <v>75</v>
      </c>
      <c r="Q38" s="347" t="str">
        <f>Inputs!F39</f>
        <v>Design life provided by ODOT</v>
      </c>
      <c r="U38" s="414"/>
      <c r="V38" s="414"/>
      <c r="W38" s="414"/>
      <c r="X38" s="414"/>
      <c r="Y38" s="414"/>
      <c r="AG38" s="347" t="s">
        <v>201</v>
      </c>
      <c r="AH38" s="378" t="s">
        <v>80</v>
      </c>
      <c r="AI38" s="377">
        <v>165985.14000000001</v>
      </c>
      <c r="AJ38" s="351">
        <v>1.8342587761437634</v>
      </c>
    </row>
    <row r="39" spans="9:36">
      <c r="I39" s="348" t="str">
        <f>Summary!B20</f>
        <v>Present Value of Benefit (Cost)</v>
      </c>
      <c r="J39" s="349">
        <f>Summary!C20</f>
        <v>64.265463889794901</v>
      </c>
      <c r="K39" s="349">
        <f>Summary!D20</f>
        <v>39.165084370372625</v>
      </c>
      <c r="L39" s="349">
        <f>Summary!E20</f>
        <v>21.65998892626407</v>
      </c>
      <c r="N39" s="347" t="str">
        <f>Inputs!C40</f>
        <v>Existing Asset Useful Value</v>
      </c>
      <c r="O39" s="347" t="str">
        <f>Inputs!D40</f>
        <v>$</v>
      </c>
      <c r="P39" s="352">
        <f>Inputs!E40</f>
        <v>0</v>
      </c>
      <c r="Q39" s="347" t="str">
        <f>Inputs!F40</f>
        <v>ODOT Provided</v>
      </c>
      <c r="U39" s="414"/>
      <c r="V39" s="414" t="s">
        <v>393</v>
      </c>
      <c r="W39" s="414" t="s">
        <v>394</v>
      </c>
      <c r="X39" s="414" t="s">
        <v>395</v>
      </c>
      <c r="Y39" s="414" t="s">
        <v>394</v>
      </c>
      <c r="AG39" s="347" t="s">
        <v>202</v>
      </c>
      <c r="AH39" s="347" t="s">
        <v>114</v>
      </c>
      <c r="AI39" s="347">
        <v>165985.14000000001</v>
      </c>
    </row>
    <row r="40" spans="9:36">
      <c r="U40" s="387" t="s">
        <v>374</v>
      </c>
      <c r="V40" s="391">
        <v>116</v>
      </c>
      <c r="W40" s="391">
        <v>114</v>
      </c>
      <c r="X40" s="391">
        <v>253</v>
      </c>
      <c r="Y40" s="391">
        <v>308</v>
      </c>
    </row>
    <row r="41" spans="9:36">
      <c r="M41" s="1"/>
      <c r="N41" s="332" t="s">
        <v>396</v>
      </c>
      <c r="U41" s="387" t="s">
        <v>378</v>
      </c>
      <c r="V41" s="391">
        <v>94</v>
      </c>
      <c r="W41" s="391">
        <v>102</v>
      </c>
      <c r="X41" s="391">
        <v>174</v>
      </c>
      <c r="Y41" s="391">
        <v>225</v>
      </c>
    </row>
    <row r="42" spans="9:36">
      <c r="N42" s="385" t="s">
        <v>42</v>
      </c>
      <c r="O42" s="385" t="s">
        <v>43</v>
      </c>
      <c r="P42" s="385" t="s">
        <v>44</v>
      </c>
      <c r="Q42" s="385" t="s">
        <v>390</v>
      </c>
      <c r="U42" s="387" t="s">
        <v>380</v>
      </c>
      <c r="V42" s="391">
        <f>V40-V41</f>
        <v>22</v>
      </c>
      <c r="W42" s="391">
        <f>W40-W41</f>
        <v>12</v>
      </c>
      <c r="X42" s="391">
        <f>X40-X41</f>
        <v>79</v>
      </c>
      <c r="Y42" s="391">
        <f>Y40-Y41</f>
        <v>83</v>
      </c>
    </row>
    <row r="43" spans="9:36">
      <c r="N43" s="347" t="s">
        <v>88</v>
      </c>
      <c r="O43" s="347" t="s">
        <v>89</v>
      </c>
      <c r="P43" s="380">
        <v>12</v>
      </c>
      <c r="Q43" s="347" t="s">
        <v>90</v>
      </c>
    </row>
    <row r="44" spans="9:36">
      <c r="N44" s="347" t="s">
        <v>91</v>
      </c>
      <c r="O44" s="347" t="s">
        <v>92</v>
      </c>
      <c r="P44" s="347">
        <v>8</v>
      </c>
      <c r="Q44" s="347" t="s">
        <v>90</v>
      </c>
    </row>
    <row r="45" spans="9:36">
      <c r="N45" s="347" t="s">
        <v>93</v>
      </c>
      <c r="O45" s="347" t="s">
        <v>92</v>
      </c>
      <c r="P45" s="347">
        <v>4</v>
      </c>
      <c r="Q45" s="347" t="s">
        <v>90</v>
      </c>
      <c r="U45" s="165" t="s">
        <v>397</v>
      </c>
    </row>
    <row r="46" spans="9:36" ht="15.75" customHeight="1">
      <c r="N46" s="347" t="s">
        <v>94</v>
      </c>
      <c r="O46" s="347" t="s">
        <v>95</v>
      </c>
      <c r="P46" s="351">
        <v>0.53030303030303028</v>
      </c>
      <c r="Q46" s="347" t="s">
        <v>90</v>
      </c>
      <c r="U46" s="414" t="s">
        <v>398</v>
      </c>
      <c r="V46" s="414">
        <v>2023</v>
      </c>
      <c r="W46" s="414"/>
      <c r="X46" s="414"/>
      <c r="Y46" s="414"/>
      <c r="Z46" s="414">
        <v>2046</v>
      </c>
      <c r="AA46" s="414"/>
      <c r="AB46" s="414"/>
      <c r="AC46" s="414"/>
    </row>
    <row r="47" spans="9:36">
      <c r="U47" s="414"/>
      <c r="V47" s="414" t="s">
        <v>393</v>
      </c>
      <c r="W47" s="414"/>
      <c r="X47" s="414" t="s">
        <v>394</v>
      </c>
      <c r="Y47" s="414"/>
      <c r="Z47" s="414" t="s">
        <v>393</v>
      </c>
      <c r="AA47" s="414"/>
      <c r="AB47" s="414" t="s">
        <v>394</v>
      </c>
      <c r="AC47" s="414"/>
    </row>
    <row r="48" spans="9:36">
      <c r="U48" s="414"/>
      <c r="V48" s="393" t="s">
        <v>399</v>
      </c>
      <c r="W48" s="393" t="s">
        <v>378</v>
      </c>
      <c r="X48" s="393" t="s">
        <v>399</v>
      </c>
      <c r="Y48" s="393" t="s">
        <v>378</v>
      </c>
      <c r="Z48" s="393" t="s">
        <v>399</v>
      </c>
      <c r="AA48" s="393" t="s">
        <v>378</v>
      </c>
      <c r="AB48" s="393" t="s">
        <v>399</v>
      </c>
      <c r="AC48" s="393" t="s">
        <v>378</v>
      </c>
    </row>
    <row r="49" spans="14:29" ht="16.5">
      <c r="N49" s="332" t="s">
        <v>189</v>
      </c>
      <c r="U49" s="392" t="s">
        <v>400</v>
      </c>
      <c r="V49" s="388">
        <v>8.08</v>
      </c>
      <c r="W49" s="388">
        <v>6.6</v>
      </c>
      <c r="X49" s="388">
        <v>7.97</v>
      </c>
      <c r="Y49" s="388">
        <v>7.13</v>
      </c>
      <c r="Z49" s="388">
        <v>17.7</v>
      </c>
      <c r="AA49" s="388">
        <v>12.19</v>
      </c>
      <c r="AB49" s="388">
        <v>21.54</v>
      </c>
      <c r="AC49" s="388">
        <v>15.74</v>
      </c>
    </row>
    <row r="50" spans="14:29" ht="16.5">
      <c r="N50" s="385" t="s">
        <v>42</v>
      </c>
      <c r="O50" s="385" t="s">
        <v>43</v>
      </c>
      <c r="P50" s="385" t="s">
        <v>44</v>
      </c>
      <c r="Q50" s="385" t="s">
        <v>390</v>
      </c>
      <c r="U50" s="392" t="s">
        <v>401</v>
      </c>
      <c r="V50" s="388">
        <v>1.57</v>
      </c>
      <c r="W50" s="388">
        <v>1.28</v>
      </c>
      <c r="X50" s="388">
        <v>1.55</v>
      </c>
      <c r="Y50" s="388">
        <v>1.39</v>
      </c>
      <c r="Z50" s="388">
        <v>3.44</v>
      </c>
      <c r="AA50" s="388">
        <v>2.37</v>
      </c>
      <c r="AB50" s="388">
        <v>4.1900000000000004</v>
      </c>
      <c r="AC50" s="388">
        <v>3.06</v>
      </c>
    </row>
    <row r="51" spans="14:29">
      <c r="N51" s="379" t="str">
        <f>Inputs!C145</f>
        <v>Number of Bridge Hits in District 8</v>
      </c>
      <c r="O51" s="379" t="str">
        <f>Inputs!D145</f>
        <v>count</v>
      </c>
      <c r="P51" s="379">
        <f>Inputs!E145</f>
        <v>10</v>
      </c>
      <c r="Q51" s="379" t="s">
        <v>370</v>
      </c>
      <c r="U51" s="388" t="s">
        <v>402</v>
      </c>
      <c r="V51" s="388">
        <v>1.87</v>
      </c>
      <c r="W51" s="388">
        <v>1.53</v>
      </c>
      <c r="X51" s="388">
        <v>1.85</v>
      </c>
      <c r="Y51" s="388">
        <v>1.65</v>
      </c>
      <c r="Z51" s="388">
        <v>4.0999999999999996</v>
      </c>
      <c r="AA51" s="388">
        <v>2.83</v>
      </c>
      <c r="AB51" s="388">
        <v>4.99</v>
      </c>
      <c r="AC51" s="388">
        <v>3.64</v>
      </c>
    </row>
    <row r="52" spans="14:29">
      <c r="N52" s="379" t="str">
        <f>Inputs!C146</f>
        <v>Perdiod of Bridge Hits Analyzed</v>
      </c>
      <c r="O52" s="379" t="str">
        <f>Inputs!D146</f>
        <v>years</v>
      </c>
      <c r="P52" s="379">
        <f>Inputs!E146</f>
        <v>4</v>
      </c>
      <c r="Q52" s="379" t="s">
        <v>370</v>
      </c>
    </row>
    <row r="53" spans="14:29" ht="30">
      <c r="N53" s="379" t="str">
        <f>Inputs!C147</f>
        <v>Number of Low Clearance Bridge in District 8</v>
      </c>
      <c r="O53" s="379" t="str">
        <f>Inputs!D147</f>
        <v>count</v>
      </c>
      <c r="P53" s="379">
        <f>Inputs!E147</f>
        <v>276</v>
      </c>
      <c r="Q53" s="379" t="s">
        <v>370</v>
      </c>
    </row>
    <row r="54" spans="14:29" ht="30">
      <c r="N54" s="379" t="str">
        <f>Inputs!C148</f>
        <v>Probability of Bridge Hit</v>
      </c>
      <c r="O54" s="379" t="str">
        <f>Inputs!D148</f>
        <v>incidents / Period</v>
      </c>
      <c r="P54" s="394">
        <f>Inputs!E148</f>
        <v>3.6231884057971016E-2</v>
      </c>
      <c r="Q54" s="379" t="str">
        <f>Inputs!F148</f>
        <v>Calculation</v>
      </c>
    </row>
    <row r="55" spans="14:29">
      <c r="N55" s="379" t="str">
        <f>Inputs!C149</f>
        <v>Probability of Bridge Hit</v>
      </c>
      <c r="O55" s="379" t="str">
        <f>Inputs!D149</f>
        <v>incidents / year</v>
      </c>
      <c r="P55" s="394">
        <f>Inputs!E149</f>
        <v>9.057971014492754E-3</v>
      </c>
      <c r="Q55" s="379" t="str">
        <f>Inputs!F149</f>
        <v>Calculation</v>
      </c>
    </row>
    <row r="56" spans="14:29" ht="30">
      <c r="N56" s="379" t="str">
        <f>Inputs!C150</f>
        <v>Bridge Replacement Cost</v>
      </c>
      <c r="O56" s="379" t="str">
        <f>Inputs!D150</f>
        <v>$</v>
      </c>
      <c r="P56" s="395">
        <f>Inputs!E150</f>
        <v>0</v>
      </c>
      <c r="Q56" s="379" t="str">
        <f>Inputs!F150</f>
        <v>Full bridge replacement related bridge hit not assumed realistic</v>
      </c>
    </row>
    <row r="57" spans="14:29">
      <c r="N57" s="379" t="str">
        <f>Inputs!C151</f>
        <v>Average bridge damage per hit</v>
      </c>
      <c r="O57" s="379" t="str">
        <f>Inputs!D151</f>
        <v>$</v>
      </c>
      <c r="P57" s="396">
        <f>Inputs!E151</f>
        <v>165985.14000000001</v>
      </c>
      <c r="Q57" s="379" t="s">
        <v>370</v>
      </c>
    </row>
    <row r="58" spans="14:29">
      <c r="N58" s="379" t="str">
        <f>Inputs!C152</f>
        <v>Total cost of bridge hit</v>
      </c>
      <c r="O58" s="379" t="str">
        <f>Inputs!D152</f>
        <v>$/incident</v>
      </c>
      <c r="P58" s="396">
        <f>Inputs!E152</f>
        <v>165985.14000000001</v>
      </c>
      <c r="Q58" s="379" t="str">
        <f>Inputs!F152</f>
        <v>Calculation</v>
      </c>
    </row>
    <row r="61" spans="14:29">
      <c r="N61" s="332" t="s">
        <v>403</v>
      </c>
    </row>
    <row r="62" spans="14:29">
      <c r="N62" s="385" t="s">
        <v>42</v>
      </c>
      <c r="O62" s="385" t="s">
        <v>43</v>
      </c>
      <c r="P62" s="385" t="s">
        <v>44</v>
      </c>
      <c r="Q62" s="385" t="s">
        <v>390</v>
      </c>
    </row>
    <row r="63" spans="14:29" ht="30">
      <c r="N63" s="379" t="str">
        <f>Inputs!C65</f>
        <v>Current ped path length</v>
      </c>
      <c r="O63" s="379" t="str">
        <f>Inputs!D65</f>
        <v>miles</v>
      </c>
      <c r="P63" s="401">
        <f>Inputs!E65</f>
        <v>3.9</v>
      </c>
      <c r="Q63" s="379" t="str">
        <f>Inputs!F65</f>
        <v>Utilizing 91st St crossing, map of current path shown in tab "REF Ped Path"</v>
      </c>
    </row>
    <row r="64" spans="14:29">
      <c r="N64" s="379" t="str">
        <f>Inputs!C66</f>
        <v>Proposed ped path length</v>
      </c>
      <c r="O64" s="379" t="str">
        <f>Inputs!D66</f>
        <v>miles</v>
      </c>
      <c r="P64" s="401">
        <f>Inputs!E66</f>
        <v>0.26515151515151514</v>
      </c>
      <c r="Q64" s="379" t="str">
        <f>Inputs!F66</f>
        <v>Based on project 60% design plans</v>
      </c>
    </row>
    <row r="65" spans="14:17">
      <c r="N65" s="379" t="str">
        <f>Inputs!C67</f>
        <v>Pedestrian Speed</v>
      </c>
      <c r="O65" s="379" t="str">
        <f>Inputs!D67</f>
        <v>miles per hour</v>
      </c>
      <c r="P65" s="401">
        <f>Inputs!E67</f>
        <v>3.2</v>
      </c>
      <c r="Q65" s="379" t="str">
        <f>Inputs!F67</f>
        <v>BCA Guidelines Table A-8, note 1</v>
      </c>
    </row>
    <row r="66" spans="14:17">
      <c r="N66" s="379" t="s">
        <v>404</v>
      </c>
      <c r="O66" s="379" t="str">
        <f>Inputs!D72</f>
        <v>$/person/hr</v>
      </c>
      <c r="P66" s="395">
        <f>Inputs!E72</f>
        <v>34</v>
      </c>
      <c r="Q66" s="379" t="str">
        <f>Inputs!F72</f>
        <v>BCA Guidelines Table A-3</v>
      </c>
    </row>
    <row r="68" spans="14:17">
      <c r="N68" s="332" t="s">
        <v>405</v>
      </c>
    </row>
    <row r="69" spans="14:17">
      <c r="N69" s="385" t="s">
        <v>42</v>
      </c>
      <c r="O69" s="385" t="s">
        <v>43</v>
      </c>
      <c r="P69" s="385" t="s">
        <v>44</v>
      </c>
      <c r="Q69" s="385" t="s">
        <v>390</v>
      </c>
    </row>
    <row r="70" spans="14:17">
      <c r="N70" s="379" t="str">
        <f>Inputs!C71</f>
        <v>All Purposes</v>
      </c>
      <c r="O70" s="379" t="str">
        <f>Inputs!D71</f>
        <v>$/person/hr</v>
      </c>
      <c r="P70" s="379">
        <f>Inputs!E71</f>
        <v>18.8</v>
      </c>
      <c r="Q70" s="379" t="str">
        <f>Inputs!F71</f>
        <v>BCA Guidelines Table A-3</v>
      </c>
    </row>
    <row r="71" spans="14:17">
      <c r="N71" s="379" t="str">
        <f>Inputs!C81</f>
        <v>Passenger Vehicles All Travel</v>
      </c>
      <c r="O71" s="379" t="str">
        <f>Inputs!D81</f>
        <v>per/veh</v>
      </c>
      <c r="P71" s="379">
        <f>Inputs!E81</f>
        <v>1.67</v>
      </c>
      <c r="Q71" s="379" t="str">
        <f>Inputs!F81</f>
        <v>BCA Guidelines Table A-4</v>
      </c>
    </row>
  </sheetData>
  <mergeCells count="27">
    <mergeCell ref="J21:L21"/>
    <mergeCell ref="C4:C10"/>
    <mergeCell ref="B4:B10"/>
    <mergeCell ref="AF18:AF19"/>
    <mergeCell ref="AF20:AF21"/>
    <mergeCell ref="U15:U16"/>
    <mergeCell ref="V15:W15"/>
    <mergeCell ref="X15:Y15"/>
    <mergeCell ref="AA15:AC15"/>
    <mergeCell ref="AF16:AF17"/>
    <mergeCell ref="B11:E11"/>
    <mergeCell ref="AD16:AD17"/>
    <mergeCell ref="AA16:AB16"/>
    <mergeCell ref="AA17:AB17"/>
    <mergeCell ref="AF23:AF24"/>
    <mergeCell ref="AB47:AC47"/>
    <mergeCell ref="Z46:AC46"/>
    <mergeCell ref="U37:U39"/>
    <mergeCell ref="V37:W38"/>
    <mergeCell ref="X37:Y38"/>
    <mergeCell ref="V39:W39"/>
    <mergeCell ref="X39:Y39"/>
    <mergeCell ref="U46:U48"/>
    <mergeCell ref="V46:Y46"/>
    <mergeCell ref="V47:W47"/>
    <mergeCell ref="X47:Y47"/>
    <mergeCell ref="Z47:AA47"/>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7D24-3D04-432E-A18B-4FB851415559}">
  <sheetPr>
    <tabColor theme="6"/>
  </sheetPr>
  <dimension ref="A1"/>
  <sheetViews>
    <sheetView workbookViewId="0"/>
  </sheetViews>
  <sheetFormatPr defaultRowHeight="1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1FFE0-8321-4B4D-8FE7-8B1E310FC3C8}">
  <sheetPr>
    <tabColor theme="2" tint="-0.249977111117893"/>
  </sheetPr>
  <dimension ref="A1:AK210"/>
  <sheetViews>
    <sheetView workbookViewId="0">
      <selection activeCell="C1" sqref="C1"/>
    </sheetView>
  </sheetViews>
  <sheetFormatPr defaultColWidth="9.140625" defaultRowHeight="12.75"/>
  <cols>
    <col min="1" max="2" width="1" style="24" customWidth="1"/>
    <col min="3" max="3" width="9.85546875" style="24" customWidth="1"/>
    <col min="4" max="5" width="5" style="24" customWidth="1"/>
    <col min="6" max="8" width="1" style="24" customWidth="1"/>
    <col min="9" max="10" width="1.85546875" style="24" customWidth="1"/>
    <col min="11" max="11" width="2.85546875" style="24" customWidth="1"/>
    <col min="12" max="12" width="1.85546875" style="24" customWidth="1"/>
    <col min="13" max="14" width="2.85546875" style="24" customWidth="1"/>
    <col min="15" max="17" width="1.85546875" style="24" customWidth="1"/>
    <col min="18" max="18" width="1" style="24" customWidth="1"/>
    <col min="19" max="19" width="1.85546875" style="24" customWidth="1"/>
    <col min="20" max="23" width="1" style="24" customWidth="1"/>
    <col min="24" max="25" width="1.85546875" style="24" customWidth="1"/>
    <col min="26" max="26" width="1" style="24" customWidth="1"/>
    <col min="27" max="27" width="9" style="24" customWidth="1"/>
    <col min="28" max="28" width="2.85546875" style="24" customWidth="1"/>
    <col min="29" max="29" width="4" style="24" customWidth="1"/>
    <col min="30" max="30" width="1" style="24" customWidth="1"/>
    <col min="31" max="31" width="21" style="24" customWidth="1"/>
    <col min="32" max="32" width="12" style="24" customWidth="1"/>
    <col min="33" max="16384" width="9.140625" style="24"/>
  </cols>
  <sheetData>
    <row r="1" spans="1:32" s="15" customFormat="1" ht="19.5">
      <c r="C1" s="7" t="s">
        <v>406</v>
      </c>
    </row>
    <row r="2" spans="1:32" s="15" customFormat="1" ht="19.5">
      <c r="C2" s="7"/>
    </row>
    <row r="3" spans="1:32" s="15" customFormat="1">
      <c r="C3" s="17" t="s">
        <v>407</v>
      </c>
      <c r="D3" s="15" t="s">
        <v>408</v>
      </c>
      <c r="Z3" s="17"/>
    </row>
    <row r="4" spans="1:32" s="15" customFormat="1" ht="15">
      <c r="C4" s="17" t="s">
        <v>409</v>
      </c>
      <c r="D4" s="16" t="s">
        <v>410</v>
      </c>
      <c r="Z4" s="17"/>
    </row>
    <row r="8" spans="1:32" ht="16.5" customHeight="1">
      <c r="A8" s="446" t="s">
        <v>411</v>
      </c>
      <c r="B8" s="447"/>
      <c r="C8" s="447"/>
      <c r="D8" s="447"/>
      <c r="E8" s="447"/>
      <c r="F8" s="447"/>
      <c r="G8" s="447"/>
      <c r="H8" s="447"/>
      <c r="I8" s="447"/>
      <c r="J8" s="447"/>
      <c r="K8" s="447"/>
      <c r="L8" s="447"/>
      <c r="M8" s="447"/>
      <c r="N8" s="447"/>
      <c r="O8" s="447"/>
      <c r="P8" s="447"/>
      <c r="Q8" s="447"/>
      <c r="R8" s="447"/>
      <c r="S8" s="447"/>
      <c r="T8" s="447"/>
      <c r="U8" s="447"/>
      <c r="V8" s="448"/>
      <c r="W8" s="446" t="s">
        <v>412</v>
      </c>
      <c r="X8" s="447"/>
      <c r="Y8" s="447"/>
      <c r="Z8" s="447"/>
      <c r="AA8" s="447"/>
      <c r="AB8" s="447"/>
      <c r="AC8" s="447"/>
      <c r="AD8" s="447"/>
      <c r="AE8" s="448"/>
      <c r="AF8" s="27"/>
    </row>
    <row r="9" spans="1:32" ht="12.95" customHeight="1">
      <c r="A9" s="467"/>
      <c r="B9" s="468"/>
      <c r="C9" s="468"/>
      <c r="D9" s="468"/>
      <c r="E9" s="468"/>
      <c r="F9" s="468"/>
      <c r="G9" s="468"/>
      <c r="H9" s="468"/>
      <c r="I9" s="468"/>
      <c r="J9" s="468"/>
      <c r="K9" s="468"/>
      <c r="L9" s="468"/>
      <c r="M9" s="468"/>
      <c r="N9" s="468"/>
      <c r="O9" s="468"/>
      <c r="P9" s="468"/>
      <c r="Q9" s="468"/>
      <c r="R9" s="468"/>
      <c r="S9" s="468"/>
      <c r="T9" s="468"/>
      <c r="U9" s="468"/>
      <c r="V9" s="469"/>
      <c r="W9" s="488" t="s">
        <v>413</v>
      </c>
      <c r="X9" s="489"/>
      <c r="Y9" s="489"/>
      <c r="Z9" s="489"/>
      <c r="AA9" s="489"/>
      <c r="AB9" s="489"/>
      <c r="AC9" s="489"/>
      <c r="AD9" s="489"/>
      <c r="AE9" s="490"/>
      <c r="AF9" s="27"/>
    </row>
    <row r="10" spans="1:32" ht="39.950000000000003" customHeight="1">
      <c r="A10" s="491"/>
      <c r="B10" s="492"/>
      <c r="C10" s="494" t="s">
        <v>414</v>
      </c>
      <c r="D10" s="502"/>
      <c r="E10" s="502"/>
      <c r="F10" s="502"/>
      <c r="G10" s="502"/>
      <c r="H10" s="502"/>
      <c r="I10" s="502"/>
      <c r="J10" s="502"/>
      <c r="K10" s="502"/>
      <c r="L10" s="495"/>
      <c r="M10" s="562" t="s">
        <v>415</v>
      </c>
      <c r="N10" s="563"/>
      <c r="O10" s="563"/>
      <c r="P10" s="563"/>
      <c r="Q10" s="563"/>
      <c r="R10" s="563"/>
      <c r="S10" s="563"/>
      <c r="T10" s="563"/>
      <c r="U10" s="564"/>
      <c r="V10" s="29"/>
      <c r="W10" s="491"/>
      <c r="X10" s="492"/>
      <c r="Y10" s="492"/>
      <c r="Z10" s="492"/>
      <c r="AA10" s="492"/>
      <c r="AB10" s="492"/>
      <c r="AC10" s="492"/>
      <c r="AD10" s="492"/>
      <c r="AE10" s="493"/>
      <c r="AF10" s="28"/>
    </row>
    <row r="11" spans="1:32" ht="15.75" customHeight="1">
      <c r="A11" s="491"/>
      <c r="B11" s="492"/>
      <c r="C11" s="434" t="s">
        <v>416</v>
      </c>
      <c r="D11" s="435"/>
      <c r="E11" s="435"/>
      <c r="F11" s="435"/>
      <c r="G11" s="435"/>
      <c r="H11" s="435"/>
      <c r="I11" s="435"/>
      <c r="J11" s="435"/>
      <c r="K11" s="435"/>
      <c r="L11" s="436"/>
      <c r="M11" s="599">
        <v>4000</v>
      </c>
      <c r="N11" s="600"/>
      <c r="O11" s="600"/>
      <c r="P11" s="600"/>
      <c r="Q11" s="600"/>
      <c r="R11" s="600"/>
      <c r="S11" s="600"/>
      <c r="T11" s="600"/>
      <c r="U11" s="601"/>
      <c r="V11" s="453"/>
      <c r="W11" s="491"/>
      <c r="X11" s="492"/>
      <c r="Y11" s="492"/>
      <c r="Z11" s="492"/>
      <c r="AA11" s="492"/>
      <c r="AB11" s="492"/>
      <c r="AC11" s="492"/>
      <c r="AD11" s="492"/>
      <c r="AE11" s="493"/>
      <c r="AF11" s="27"/>
    </row>
    <row r="12" spans="1:32" ht="15.75" customHeight="1">
      <c r="A12" s="491"/>
      <c r="B12" s="492"/>
      <c r="C12" s="434" t="s">
        <v>417</v>
      </c>
      <c r="D12" s="435"/>
      <c r="E12" s="435"/>
      <c r="F12" s="435"/>
      <c r="G12" s="435"/>
      <c r="H12" s="435"/>
      <c r="I12" s="435"/>
      <c r="J12" s="435"/>
      <c r="K12" s="435"/>
      <c r="L12" s="436"/>
      <c r="M12" s="599">
        <v>78500</v>
      </c>
      <c r="N12" s="600"/>
      <c r="O12" s="600"/>
      <c r="P12" s="600"/>
      <c r="Q12" s="600"/>
      <c r="R12" s="600"/>
      <c r="S12" s="600"/>
      <c r="T12" s="600"/>
      <c r="U12" s="601"/>
      <c r="V12" s="453"/>
      <c r="W12" s="491"/>
      <c r="X12" s="492"/>
      <c r="Y12" s="492"/>
      <c r="Z12" s="492"/>
      <c r="AA12" s="492"/>
      <c r="AB12" s="492"/>
      <c r="AC12" s="492"/>
      <c r="AD12" s="492"/>
      <c r="AE12" s="493"/>
      <c r="AF12" s="27"/>
    </row>
    <row r="13" spans="1:32" ht="15.75" customHeight="1">
      <c r="A13" s="491"/>
      <c r="B13" s="492"/>
      <c r="C13" s="434" t="s">
        <v>418</v>
      </c>
      <c r="D13" s="435"/>
      <c r="E13" s="435"/>
      <c r="F13" s="435"/>
      <c r="G13" s="435"/>
      <c r="H13" s="435"/>
      <c r="I13" s="435"/>
      <c r="J13" s="435"/>
      <c r="K13" s="435"/>
      <c r="L13" s="436"/>
      <c r="M13" s="586">
        <v>153700</v>
      </c>
      <c r="N13" s="587"/>
      <c r="O13" s="587"/>
      <c r="P13" s="587"/>
      <c r="Q13" s="587"/>
      <c r="R13" s="587"/>
      <c r="S13" s="587"/>
      <c r="T13" s="587"/>
      <c r="U13" s="588"/>
      <c r="V13" s="453"/>
      <c r="W13" s="491"/>
      <c r="X13" s="492"/>
      <c r="Y13" s="492"/>
      <c r="Z13" s="492"/>
      <c r="AA13" s="492"/>
      <c r="AB13" s="492"/>
      <c r="AC13" s="492"/>
      <c r="AD13" s="492"/>
      <c r="AE13" s="493"/>
      <c r="AF13" s="104">
        <f>M13</f>
        <v>153700</v>
      </c>
    </row>
    <row r="14" spans="1:32" ht="15.75" customHeight="1">
      <c r="A14" s="491"/>
      <c r="B14" s="492"/>
      <c r="C14" s="434" t="s">
        <v>419</v>
      </c>
      <c r="D14" s="435"/>
      <c r="E14" s="435"/>
      <c r="F14" s="435"/>
      <c r="G14" s="435"/>
      <c r="H14" s="435"/>
      <c r="I14" s="435"/>
      <c r="J14" s="435"/>
      <c r="K14" s="435"/>
      <c r="L14" s="436"/>
      <c r="M14" s="586">
        <v>564300</v>
      </c>
      <c r="N14" s="587"/>
      <c r="O14" s="587"/>
      <c r="P14" s="587"/>
      <c r="Q14" s="587"/>
      <c r="R14" s="587"/>
      <c r="S14" s="587"/>
      <c r="T14" s="587"/>
      <c r="U14" s="588"/>
      <c r="V14" s="453"/>
      <c r="W14" s="491"/>
      <c r="X14" s="492"/>
      <c r="Y14" s="492"/>
      <c r="Z14" s="492"/>
      <c r="AA14" s="492"/>
      <c r="AB14" s="492"/>
      <c r="AC14" s="492"/>
      <c r="AD14" s="492"/>
      <c r="AE14" s="493"/>
      <c r="AF14" s="27"/>
    </row>
    <row r="15" spans="1:32" ht="15.75" customHeight="1">
      <c r="A15" s="491"/>
      <c r="B15" s="492"/>
      <c r="C15" s="434" t="s">
        <v>420</v>
      </c>
      <c r="D15" s="435"/>
      <c r="E15" s="435"/>
      <c r="F15" s="435"/>
      <c r="G15" s="435"/>
      <c r="H15" s="435"/>
      <c r="I15" s="435"/>
      <c r="J15" s="435"/>
      <c r="K15" s="435"/>
      <c r="L15" s="436"/>
      <c r="M15" s="590">
        <v>11800000</v>
      </c>
      <c r="N15" s="591"/>
      <c r="O15" s="591"/>
      <c r="P15" s="591"/>
      <c r="Q15" s="591"/>
      <c r="R15" s="591"/>
      <c r="S15" s="591"/>
      <c r="T15" s="591"/>
      <c r="U15" s="592"/>
      <c r="V15" s="453"/>
      <c r="W15" s="491"/>
      <c r="X15" s="492"/>
      <c r="Y15" s="492"/>
      <c r="Z15" s="492"/>
      <c r="AA15" s="492"/>
      <c r="AB15" s="492"/>
      <c r="AC15" s="492"/>
      <c r="AD15" s="492"/>
      <c r="AE15" s="493"/>
      <c r="AF15" s="27"/>
    </row>
    <row r="16" spans="1:32" ht="15.75" customHeight="1">
      <c r="A16" s="491"/>
      <c r="B16" s="492"/>
      <c r="C16" s="434" t="s">
        <v>421</v>
      </c>
      <c r="D16" s="435"/>
      <c r="E16" s="435"/>
      <c r="F16" s="435"/>
      <c r="G16" s="435"/>
      <c r="H16" s="435"/>
      <c r="I16" s="435"/>
      <c r="J16" s="435"/>
      <c r="K16" s="435"/>
      <c r="L16" s="436"/>
      <c r="M16" s="586">
        <v>213900</v>
      </c>
      <c r="N16" s="587"/>
      <c r="O16" s="587"/>
      <c r="P16" s="587"/>
      <c r="Q16" s="587"/>
      <c r="R16" s="587"/>
      <c r="S16" s="587"/>
      <c r="T16" s="587"/>
      <c r="U16" s="588"/>
      <c r="V16" s="453"/>
      <c r="W16" s="491"/>
      <c r="X16" s="492"/>
      <c r="Y16" s="492"/>
      <c r="Z16" s="492"/>
      <c r="AA16" s="492"/>
      <c r="AB16" s="492"/>
      <c r="AC16" s="492"/>
      <c r="AD16" s="492"/>
      <c r="AE16" s="493"/>
      <c r="AF16" s="27"/>
    </row>
    <row r="17" spans="1:33" ht="31.5" customHeight="1">
      <c r="A17" s="491"/>
      <c r="B17" s="492"/>
      <c r="C17" s="485" t="s">
        <v>422</v>
      </c>
      <c r="D17" s="486"/>
      <c r="E17" s="486"/>
      <c r="F17" s="486"/>
      <c r="G17" s="486"/>
      <c r="H17" s="486"/>
      <c r="I17" s="486"/>
      <c r="J17" s="486"/>
      <c r="K17" s="486"/>
      <c r="L17" s="487"/>
      <c r="M17" s="586">
        <v>162600</v>
      </c>
      <c r="N17" s="587"/>
      <c r="O17" s="587"/>
      <c r="P17" s="587"/>
      <c r="Q17" s="587"/>
      <c r="R17" s="587"/>
      <c r="S17" s="587"/>
      <c r="T17" s="587"/>
      <c r="U17" s="588"/>
      <c r="V17" s="453"/>
      <c r="W17" s="491"/>
      <c r="X17" s="492"/>
      <c r="Y17" s="492"/>
      <c r="Z17" s="492"/>
      <c r="AA17" s="492"/>
      <c r="AB17" s="492"/>
      <c r="AC17" s="492"/>
      <c r="AD17" s="492"/>
      <c r="AE17" s="493"/>
      <c r="AF17" s="28"/>
    </row>
    <row r="18" spans="1:33" ht="12.95" customHeight="1">
      <c r="A18" s="491"/>
      <c r="B18" s="492"/>
      <c r="C18" s="450"/>
      <c r="D18" s="450"/>
      <c r="E18" s="450"/>
      <c r="F18" s="450"/>
      <c r="G18" s="450"/>
      <c r="H18" s="450"/>
      <c r="I18" s="450"/>
      <c r="J18" s="450"/>
      <c r="K18" s="450"/>
      <c r="L18" s="450"/>
      <c r="M18" s="450"/>
      <c r="N18" s="450"/>
      <c r="O18" s="450"/>
      <c r="P18" s="450"/>
      <c r="Q18" s="450"/>
      <c r="R18" s="450"/>
      <c r="S18" s="450"/>
      <c r="T18" s="450"/>
      <c r="U18" s="450"/>
      <c r="V18" s="30"/>
      <c r="W18" s="491"/>
      <c r="X18" s="492"/>
      <c r="Y18" s="492"/>
      <c r="Z18" s="492"/>
      <c r="AA18" s="492"/>
      <c r="AB18" s="492"/>
      <c r="AC18" s="492"/>
      <c r="AD18" s="492"/>
      <c r="AE18" s="493"/>
      <c r="AF18" s="27"/>
    </row>
    <row r="19" spans="1:33" ht="39.950000000000003" customHeight="1">
      <c r="A19" s="491"/>
      <c r="B19" s="492"/>
      <c r="C19" s="494" t="s">
        <v>423</v>
      </c>
      <c r="D19" s="502"/>
      <c r="E19" s="502"/>
      <c r="F19" s="502"/>
      <c r="G19" s="502"/>
      <c r="H19" s="502"/>
      <c r="I19" s="502"/>
      <c r="J19" s="502"/>
      <c r="K19" s="502"/>
      <c r="L19" s="495"/>
      <c r="M19" s="562" t="s">
        <v>415</v>
      </c>
      <c r="N19" s="563"/>
      <c r="O19" s="563"/>
      <c r="P19" s="563"/>
      <c r="Q19" s="563"/>
      <c r="R19" s="563"/>
      <c r="S19" s="563"/>
      <c r="T19" s="563"/>
      <c r="U19" s="564"/>
      <c r="V19" s="29"/>
      <c r="W19" s="491"/>
      <c r="X19" s="492"/>
      <c r="Y19" s="492"/>
      <c r="Z19" s="492"/>
      <c r="AA19" s="492"/>
      <c r="AB19" s="492"/>
      <c r="AC19" s="492"/>
      <c r="AD19" s="492"/>
      <c r="AE19" s="493"/>
      <c r="AF19" s="28"/>
    </row>
    <row r="20" spans="1:33" ht="15.75" customHeight="1">
      <c r="A20" s="491"/>
      <c r="B20" s="492"/>
      <c r="C20" s="434" t="s">
        <v>424</v>
      </c>
      <c r="D20" s="435"/>
      <c r="E20" s="435"/>
      <c r="F20" s="435"/>
      <c r="G20" s="435"/>
      <c r="H20" s="435"/>
      <c r="I20" s="435"/>
      <c r="J20" s="435"/>
      <c r="K20" s="435"/>
      <c r="L20" s="436"/>
      <c r="M20" s="586">
        <v>307800</v>
      </c>
      <c r="N20" s="587"/>
      <c r="O20" s="587"/>
      <c r="P20" s="587"/>
      <c r="Q20" s="587"/>
      <c r="R20" s="587"/>
      <c r="S20" s="587"/>
      <c r="T20" s="587"/>
      <c r="U20" s="588"/>
      <c r="V20" s="589"/>
      <c r="W20" s="491"/>
      <c r="X20" s="492"/>
      <c r="Y20" s="492"/>
      <c r="Z20" s="492"/>
      <c r="AA20" s="492"/>
      <c r="AB20" s="492"/>
      <c r="AC20" s="492"/>
      <c r="AD20" s="492"/>
      <c r="AE20" s="493"/>
      <c r="AF20" s="27"/>
    </row>
    <row r="21" spans="1:33" ht="15.75" customHeight="1">
      <c r="A21" s="491"/>
      <c r="B21" s="492"/>
      <c r="C21" s="434" t="s">
        <v>425</v>
      </c>
      <c r="D21" s="435"/>
      <c r="E21" s="435"/>
      <c r="F21" s="435"/>
      <c r="G21" s="435"/>
      <c r="H21" s="435"/>
      <c r="I21" s="435"/>
      <c r="J21" s="435"/>
      <c r="K21" s="435"/>
      <c r="L21" s="436"/>
      <c r="M21" s="590">
        <v>13046800</v>
      </c>
      <c r="N21" s="591"/>
      <c r="O21" s="591"/>
      <c r="P21" s="591"/>
      <c r="Q21" s="591"/>
      <c r="R21" s="591"/>
      <c r="S21" s="591"/>
      <c r="T21" s="591"/>
      <c r="U21" s="592"/>
      <c r="V21" s="589"/>
      <c r="W21" s="491"/>
      <c r="X21" s="492"/>
      <c r="Y21" s="492"/>
      <c r="Z21" s="492"/>
      <c r="AA21" s="492"/>
      <c r="AB21" s="492"/>
      <c r="AC21" s="492"/>
      <c r="AD21" s="492"/>
      <c r="AE21" s="493"/>
      <c r="AF21" s="27"/>
    </row>
    <row r="22" spans="1:33" ht="102.6" customHeight="1">
      <c r="A22" s="464" t="s">
        <v>426</v>
      </c>
      <c r="B22" s="465"/>
      <c r="C22" s="465"/>
      <c r="D22" s="465"/>
      <c r="E22" s="465"/>
      <c r="F22" s="465"/>
      <c r="G22" s="465"/>
      <c r="H22" s="465"/>
      <c r="I22" s="465"/>
      <c r="J22" s="465"/>
      <c r="K22" s="465"/>
      <c r="L22" s="465"/>
      <c r="M22" s="465"/>
      <c r="N22" s="465"/>
      <c r="O22" s="465"/>
      <c r="P22" s="465"/>
      <c r="Q22" s="465"/>
      <c r="R22" s="465"/>
      <c r="S22" s="465"/>
      <c r="T22" s="465"/>
      <c r="U22" s="465"/>
      <c r="V22" s="466"/>
      <c r="W22" s="464"/>
      <c r="X22" s="465"/>
      <c r="Y22" s="465"/>
      <c r="Z22" s="465"/>
      <c r="AA22" s="465"/>
      <c r="AB22" s="465"/>
      <c r="AC22" s="465"/>
      <c r="AD22" s="465"/>
      <c r="AE22" s="466"/>
      <c r="AF22" s="26"/>
    </row>
    <row r="23" spans="1:33" ht="39.6" customHeight="1">
      <c r="A23" s="561" t="s">
        <v>427</v>
      </c>
      <c r="B23" s="561"/>
      <c r="C23" s="561"/>
      <c r="D23" s="561"/>
      <c r="E23" s="561"/>
      <c r="F23" s="561"/>
      <c r="G23" s="561"/>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row>
    <row r="24" spans="1:33" ht="16.5" customHeight="1">
      <c r="A24" s="446" t="s">
        <v>411</v>
      </c>
      <c r="B24" s="447"/>
      <c r="C24" s="447"/>
      <c r="D24" s="447"/>
      <c r="E24" s="447"/>
      <c r="F24" s="447"/>
      <c r="G24" s="447"/>
      <c r="H24" s="447"/>
      <c r="I24" s="447"/>
      <c r="J24" s="447"/>
      <c r="K24" s="447"/>
      <c r="L24" s="447"/>
      <c r="M24" s="447"/>
      <c r="N24" s="447"/>
      <c r="O24" s="447"/>
      <c r="P24" s="447"/>
      <c r="Q24" s="447"/>
      <c r="R24" s="447"/>
      <c r="S24" s="448"/>
      <c r="T24" s="446" t="s">
        <v>428</v>
      </c>
      <c r="U24" s="447"/>
      <c r="V24" s="447"/>
      <c r="W24" s="447"/>
      <c r="X24" s="447"/>
      <c r="Y24" s="447"/>
      <c r="Z24" s="447"/>
      <c r="AA24" s="447"/>
      <c r="AB24" s="447"/>
      <c r="AC24" s="447"/>
      <c r="AD24" s="447"/>
      <c r="AE24" s="448"/>
      <c r="AF24" s="27"/>
    </row>
    <row r="25" spans="1:33" ht="63.2" customHeight="1">
      <c r="A25" s="434" t="s">
        <v>429</v>
      </c>
      <c r="B25" s="435"/>
      <c r="C25" s="435"/>
      <c r="D25" s="435"/>
      <c r="E25" s="435"/>
      <c r="F25" s="435"/>
      <c r="G25" s="435"/>
      <c r="H25" s="435"/>
      <c r="I25" s="435"/>
      <c r="J25" s="435"/>
      <c r="K25" s="435"/>
      <c r="L25" s="435"/>
      <c r="M25" s="435"/>
      <c r="N25" s="435"/>
      <c r="O25" s="435"/>
      <c r="P25" s="435"/>
      <c r="Q25" s="435"/>
      <c r="R25" s="435"/>
      <c r="S25" s="436"/>
      <c r="T25" s="485" t="s">
        <v>430</v>
      </c>
      <c r="U25" s="486"/>
      <c r="V25" s="486"/>
      <c r="W25" s="486"/>
      <c r="X25" s="486"/>
      <c r="Y25" s="486"/>
      <c r="Z25" s="486"/>
      <c r="AA25" s="486"/>
      <c r="AB25" s="486"/>
      <c r="AC25" s="486"/>
      <c r="AD25" s="486"/>
      <c r="AE25" s="487"/>
      <c r="AF25" s="103">
        <v>4800</v>
      </c>
    </row>
    <row r="26" spans="1:33" ht="16.5" customHeight="1">
      <c r="A26" s="446" t="s">
        <v>411</v>
      </c>
      <c r="B26" s="447"/>
      <c r="C26" s="447"/>
      <c r="D26" s="447"/>
      <c r="E26" s="447"/>
      <c r="F26" s="447"/>
      <c r="G26" s="447"/>
      <c r="H26" s="447"/>
      <c r="I26" s="447"/>
      <c r="J26" s="447"/>
      <c r="K26" s="447"/>
      <c r="L26" s="447"/>
      <c r="M26" s="447"/>
      <c r="N26" s="447"/>
      <c r="O26" s="447"/>
      <c r="P26" s="447"/>
      <c r="Q26" s="447"/>
      <c r="R26" s="447"/>
      <c r="S26" s="447"/>
      <c r="T26" s="447"/>
      <c r="U26" s="447"/>
      <c r="V26" s="447"/>
      <c r="W26" s="447"/>
      <c r="X26" s="447"/>
      <c r="Y26" s="447"/>
      <c r="Z26" s="448"/>
      <c r="AA26" s="446" t="s">
        <v>412</v>
      </c>
      <c r="AB26" s="447"/>
      <c r="AC26" s="447"/>
      <c r="AD26" s="447"/>
      <c r="AE26" s="448"/>
    </row>
    <row r="27" spans="1:33" ht="26.1" customHeight="1">
      <c r="A27" s="488"/>
      <c r="B27" s="490"/>
      <c r="C27" s="494" t="s">
        <v>431</v>
      </c>
      <c r="D27" s="502"/>
      <c r="E27" s="502"/>
      <c r="F27" s="502"/>
      <c r="G27" s="502"/>
      <c r="H27" s="502"/>
      <c r="I27" s="502"/>
      <c r="J27" s="502"/>
      <c r="K27" s="502"/>
      <c r="L27" s="502"/>
      <c r="M27" s="502"/>
      <c r="N27" s="502"/>
      <c r="O27" s="502"/>
      <c r="P27" s="502"/>
      <c r="Q27" s="502"/>
      <c r="R27" s="502"/>
      <c r="S27" s="502"/>
      <c r="T27" s="502"/>
      <c r="U27" s="502"/>
      <c r="V27" s="502"/>
      <c r="W27" s="502"/>
      <c r="X27" s="495"/>
      <c r="Y27" s="488"/>
      <c r="Z27" s="490"/>
      <c r="AA27" s="488" t="s">
        <v>432</v>
      </c>
      <c r="AB27" s="489"/>
      <c r="AC27" s="489"/>
      <c r="AD27" s="489"/>
      <c r="AE27" s="490"/>
    </row>
    <row r="28" spans="1:33" ht="26.1" customHeight="1">
      <c r="A28" s="491"/>
      <c r="B28" s="493"/>
      <c r="C28" s="494" t="s">
        <v>433</v>
      </c>
      <c r="D28" s="502"/>
      <c r="E28" s="502"/>
      <c r="F28" s="502"/>
      <c r="G28" s="502"/>
      <c r="H28" s="502"/>
      <c r="I28" s="502"/>
      <c r="J28" s="502"/>
      <c r="K28" s="502"/>
      <c r="L28" s="502"/>
      <c r="M28" s="502"/>
      <c r="N28" s="495"/>
      <c r="O28" s="596" t="s">
        <v>434</v>
      </c>
      <c r="P28" s="597"/>
      <c r="Q28" s="597"/>
      <c r="R28" s="597"/>
      <c r="S28" s="597"/>
      <c r="T28" s="597"/>
      <c r="U28" s="597"/>
      <c r="V28" s="597"/>
      <c r="W28" s="597"/>
      <c r="X28" s="598"/>
      <c r="Y28" s="491"/>
      <c r="Z28" s="493"/>
      <c r="AA28" s="491"/>
      <c r="AB28" s="492"/>
      <c r="AC28" s="492"/>
      <c r="AD28" s="492"/>
      <c r="AE28" s="493"/>
    </row>
    <row r="29" spans="1:33" ht="15.75" customHeight="1">
      <c r="A29" s="491"/>
      <c r="B29" s="493"/>
      <c r="C29" s="440" t="s">
        <v>435</v>
      </c>
      <c r="D29" s="441"/>
      <c r="E29" s="441"/>
      <c r="F29" s="441"/>
      <c r="G29" s="441"/>
      <c r="H29" s="441"/>
      <c r="I29" s="441"/>
      <c r="J29" s="441"/>
      <c r="K29" s="441"/>
      <c r="L29" s="441"/>
      <c r="M29" s="441"/>
      <c r="N29" s="442"/>
      <c r="O29" s="467"/>
      <c r="P29" s="468"/>
      <c r="Q29" s="468"/>
      <c r="R29" s="468"/>
      <c r="S29" s="468"/>
      <c r="T29" s="468"/>
      <c r="U29" s="468"/>
      <c r="V29" s="468"/>
      <c r="W29" s="468"/>
      <c r="X29" s="469"/>
      <c r="Y29" s="491"/>
      <c r="Z29" s="493"/>
      <c r="AA29" s="491"/>
      <c r="AB29" s="492"/>
      <c r="AC29" s="492"/>
      <c r="AD29" s="492"/>
      <c r="AE29" s="493"/>
    </row>
    <row r="30" spans="1:33" ht="15.75" customHeight="1">
      <c r="A30" s="491"/>
      <c r="B30" s="493"/>
      <c r="C30" s="428" t="s">
        <v>436</v>
      </c>
      <c r="D30" s="429"/>
      <c r="E30" s="429"/>
      <c r="F30" s="429"/>
      <c r="G30" s="429"/>
      <c r="H30" s="429"/>
      <c r="I30" s="429"/>
      <c r="J30" s="429"/>
      <c r="K30" s="429"/>
      <c r="L30" s="429"/>
      <c r="M30" s="429"/>
      <c r="N30" s="430"/>
      <c r="O30" s="555">
        <v>17</v>
      </c>
      <c r="P30" s="556"/>
      <c r="Q30" s="556"/>
      <c r="R30" s="556"/>
      <c r="S30" s="556"/>
      <c r="T30" s="556"/>
      <c r="U30" s="556"/>
      <c r="V30" s="556"/>
      <c r="W30" s="556"/>
      <c r="X30" s="557"/>
      <c r="Y30" s="491"/>
      <c r="Z30" s="493"/>
      <c r="AA30" s="491"/>
      <c r="AB30" s="492"/>
      <c r="AC30" s="492"/>
      <c r="AD30" s="492"/>
      <c r="AE30" s="493"/>
      <c r="AF30" s="245">
        <f>O30</f>
        <v>17</v>
      </c>
    </row>
    <row r="31" spans="1:33" ht="15.75" customHeight="1">
      <c r="A31" s="491"/>
      <c r="B31" s="493"/>
      <c r="C31" s="428" t="s">
        <v>437</v>
      </c>
      <c r="D31" s="429"/>
      <c r="E31" s="429"/>
      <c r="F31" s="429"/>
      <c r="G31" s="429"/>
      <c r="H31" s="429"/>
      <c r="I31" s="429"/>
      <c r="J31" s="429"/>
      <c r="K31" s="429"/>
      <c r="L31" s="429"/>
      <c r="M31" s="429"/>
      <c r="N31" s="430"/>
      <c r="O31" s="555">
        <v>31.9</v>
      </c>
      <c r="P31" s="556"/>
      <c r="Q31" s="556"/>
      <c r="R31" s="556"/>
      <c r="S31" s="556"/>
      <c r="T31" s="556"/>
      <c r="U31" s="556"/>
      <c r="V31" s="556"/>
      <c r="W31" s="556"/>
      <c r="X31" s="557"/>
      <c r="Y31" s="491"/>
      <c r="Z31" s="493"/>
      <c r="AA31" s="491"/>
      <c r="AB31" s="492"/>
      <c r="AC31" s="492"/>
      <c r="AD31" s="492"/>
      <c r="AE31" s="493"/>
      <c r="AF31" s="245">
        <f>O31</f>
        <v>31.9</v>
      </c>
    </row>
    <row r="32" spans="1:33" ht="63" customHeight="1">
      <c r="A32" s="491"/>
      <c r="B32" s="493"/>
      <c r="C32" s="491" t="s">
        <v>438</v>
      </c>
      <c r="D32" s="492"/>
      <c r="E32" s="492"/>
      <c r="F32" s="492"/>
      <c r="G32" s="492"/>
      <c r="H32" s="492"/>
      <c r="I32" s="492"/>
      <c r="J32" s="492"/>
      <c r="K32" s="492"/>
      <c r="L32" s="492"/>
      <c r="M32" s="492"/>
      <c r="N32" s="493"/>
      <c r="O32" s="593" t="s">
        <v>439</v>
      </c>
      <c r="P32" s="594"/>
      <c r="Q32" s="594"/>
      <c r="R32" s="594"/>
      <c r="S32" s="594"/>
      <c r="T32" s="594"/>
      <c r="U32" s="594"/>
      <c r="V32" s="594"/>
      <c r="W32" s="594"/>
      <c r="X32" s="595"/>
      <c r="Y32" s="491"/>
      <c r="Z32" s="493"/>
      <c r="AA32" s="491"/>
      <c r="AB32" s="492"/>
      <c r="AC32" s="492"/>
      <c r="AD32" s="492"/>
      <c r="AE32" s="493"/>
      <c r="AF32" s="245">
        <v>18.8</v>
      </c>
      <c r="AG32" s="245">
        <v>34</v>
      </c>
    </row>
    <row r="33" spans="1:32" ht="31.5" customHeight="1">
      <c r="A33" s="491"/>
      <c r="B33" s="493"/>
      <c r="C33" s="571" t="s">
        <v>440</v>
      </c>
      <c r="D33" s="572"/>
      <c r="E33" s="572"/>
      <c r="F33" s="572"/>
      <c r="G33" s="572"/>
      <c r="H33" s="572"/>
      <c r="I33" s="572"/>
      <c r="J33" s="572"/>
      <c r="K33" s="572"/>
      <c r="L33" s="572"/>
      <c r="M33" s="572"/>
      <c r="N33" s="573"/>
      <c r="O33" s="574"/>
      <c r="P33" s="575"/>
      <c r="Q33" s="575"/>
      <c r="R33" s="575"/>
      <c r="S33" s="575"/>
      <c r="T33" s="575"/>
      <c r="U33" s="575"/>
      <c r="V33" s="575"/>
      <c r="W33" s="575"/>
      <c r="X33" s="576"/>
      <c r="Y33" s="491"/>
      <c r="Z33" s="493"/>
      <c r="AA33" s="491"/>
      <c r="AB33" s="492"/>
      <c r="AC33" s="492"/>
      <c r="AD33" s="492"/>
      <c r="AE33" s="493"/>
    </row>
    <row r="34" spans="1:32" ht="15.75" customHeight="1">
      <c r="A34" s="491"/>
      <c r="B34" s="493"/>
      <c r="C34" s="428" t="s">
        <v>441</v>
      </c>
      <c r="D34" s="429"/>
      <c r="E34" s="429"/>
      <c r="F34" s="429"/>
      <c r="G34" s="429"/>
      <c r="H34" s="429"/>
      <c r="I34" s="429"/>
      <c r="J34" s="429"/>
      <c r="K34" s="429"/>
      <c r="L34" s="429"/>
      <c r="M34" s="429"/>
      <c r="N34" s="430"/>
      <c r="O34" s="555">
        <v>32.4</v>
      </c>
      <c r="P34" s="556"/>
      <c r="Q34" s="556"/>
      <c r="R34" s="556"/>
      <c r="S34" s="556"/>
      <c r="T34" s="556"/>
      <c r="U34" s="556"/>
      <c r="V34" s="556"/>
      <c r="W34" s="556"/>
      <c r="X34" s="557"/>
      <c r="Y34" s="491"/>
      <c r="Z34" s="493"/>
      <c r="AA34" s="491"/>
      <c r="AB34" s="492"/>
      <c r="AC34" s="492"/>
      <c r="AD34" s="492"/>
      <c r="AE34" s="493"/>
      <c r="AF34" s="245">
        <f>O34</f>
        <v>32.4</v>
      </c>
    </row>
    <row r="35" spans="1:32" ht="15.75" customHeight="1">
      <c r="A35" s="491"/>
      <c r="B35" s="493"/>
      <c r="C35" s="428" t="s">
        <v>442</v>
      </c>
      <c r="D35" s="429"/>
      <c r="E35" s="429"/>
      <c r="F35" s="429"/>
      <c r="G35" s="429"/>
      <c r="H35" s="429"/>
      <c r="I35" s="429"/>
      <c r="J35" s="429"/>
      <c r="K35" s="429"/>
      <c r="L35" s="429"/>
      <c r="M35" s="429"/>
      <c r="N35" s="430"/>
      <c r="O35" s="555">
        <v>35</v>
      </c>
      <c r="P35" s="556"/>
      <c r="Q35" s="556"/>
      <c r="R35" s="556"/>
      <c r="S35" s="556"/>
      <c r="T35" s="556"/>
      <c r="U35" s="556"/>
      <c r="V35" s="556"/>
      <c r="W35" s="556"/>
      <c r="X35" s="557"/>
      <c r="Y35" s="491"/>
      <c r="Z35" s="493"/>
      <c r="AA35" s="491"/>
      <c r="AB35" s="492"/>
      <c r="AC35" s="492"/>
      <c r="AD35" s="492"/>
      <c r="AE35" s="493"/>
      <c r="AF35" s="245">
        <f>O35</f>
        <v>35</v>
      </c>
    </row>
    <row r="36" spans="1:32" ht="15.75" customHeight="1">
      <c r="A36" s="491"/>
      <c r="B36" s="493"/>
      <c r="C36" s="428" t="s">
        <v>443</v>
      </c>
      <c r="D36" s="429"/>
      <c r="E36" s="429"/>
      <c r="F36" s="429"/>
      <c r="G36" s="429"/>
      <c r="H36" s="429"/>
      <c r="I36" s="429"/>
      <c r="J36" s="429"/>
      <c r="K36" s="429"/>
      <c r="L36" s="429"/>
      <c r="M36" s="429"/>
      <c r="N36" s="430"/>
      <c r="O36" s="555">
        <v>58.4</v>
      </c>
      <c r="P36" s="556"/>
      <c r="Q36" s="556"/>
      <c r="R36" s="556"/>
      <c r="S36" s="556"/>
      <c r="T36" s="556"/>
      <c r="U36" s="556"/>
      <c r="V36" s="556"/>
      <c r="W36" s="556"/>
      <c r="X36" s="557"/>
      <c r="Y36" s="491"/>
      <c r="Z36" s="493"/>
      <c r="AA36" s="491"/>
      <c r="AB36" s="492"/>
      <c r="AC36" s="492"/>
      <c r="AD36" s="492"/>
      <c r="AE36" s="493"/>
      <c r="AF36" s="245">
        <f>O36</f>
        <v>58.4</v>
      </c>
    </row>
    <row r="37" spans="1:32" ht="15.95" customHeight="1">
      <c r="A37" s="491"/>
      <c r="B37" s="493"/>
      <c r="C37" s="431" t="s">
        <v>444</v>
      </c>
      <c r="D37" s="432"/>
      <c r="E37" s="432"/>
      <c r="F37" s="432"/>
      <c r="G37" s="432"/>
      <c r="H37" s="432"/>
      <c r="I37" s="432"/>
      <c r="J37" s="432"/>
      <c r="K37" s="432"/>
      <c r="L37" s="432"/>
      <c r="M37" s="432"/>
      <c r="N37" s="433"/>
      <c r="O37" s="558">
        <v>57.4</v>
      </c>
      <c r="P37" s="559"/>
      <c r="Q37" s="559"/>
      <c r="R37" s="559"/>
      <c r="S37" s="559"/>
      <c r="T37" s="559"/>
      <c r="U37" s="559"/>
      <c r="V37" s="559"/>
      <c r="W37" s="559"/>
      <c r="X37" s="560"/>
      <c r="Y37" s="491"/>
      <c r="Z37" s="493"/>
      <c r="AA37" s="491"/>
      <c r="AB37" s="492"/>
      <c r="AC37" s="492"/>
      <c r="AD37" s="492"/>
      <c r="AE37" s="493"/>
      <c r="AF37" s="245">
        <f>O37</f>
        <v>57.4</v>
      </c>
    </row>
    <row r="38" spans="1:32" ht="275.10000000000002" customHeight="1">
      <c r="A38" s="491"/>
      <c r="B38" s="493"/>
      <c r="C38" s="488" t="s">
        <v>445</v>
      </c>
      <c r="D38" s="489"/>
      <c r="E38" s="489"/>
      <c r="F38" s="489"/>
      <c r="G38" s="489"/>
      <c r="H38" s="489"/>
      <c r="I38" s="489"/>
      <c r="J38" s="489"/>
      <c r="K38" s="489"/>
      <c r="L38" s="489"/>
      <c r="M38" s="489"/>
      <c r="N38" s="489"/>
      <c r="O38" s="489"/>
      <c r="P38" s="489"/>
      <c r="Q38" s="489"/>
      <c r="R38" s="489"/>
      <c r="S38" s="489"/>
      <c r="T38" s="489"/>
      <c r="U38" s="489"/>
      <c r="V38" s="489"/>
      <c r="W38" s="489"/>
      <c r="X38" s="490"/>
      <c r="Y38" s="491"/>
      <c r="Z38" s="493"/>
      <c r="AA38" s="491"/>
      <c r="AB38" s="492"/>
      <c r="AC38" s="492"/>
      <c r="AD38" s="492"/>
      <c r="AE38" s="493"/>
    </row>
    <row r="39" spans="1:32" ht="28.7" customHeight="1">
      <c r="A39" s="464"/>
      <c r="B39" s="466"/>
      <c r="C39" s="431" t="s">
        <v>446</v>
      </c>
      <c r="D39" s="432"/>
      <c r="E39" s="432"/>
      <c r="F39" s="432"/>
      <c r="G39" s="432"/>
      <c r="H39" s="432"/>
      <c r="I39" s="432"/>
      <c r="J39" s="432"/>
      <c r="K39" s="432"/>
      <c r="L39" s="432"/>
      <c r="M39" s="432"/>
      <c r="N39" s="432"/>
      <c r="O39" s="432"/>
      <c r="P39" s="432"/>
      <c r="Q39" s="432"/>
      <c r="R39" s="432"/>
      <c r="S39" s="432"/>
      <c r="T39" s="432"/>
      <c r="U39" s="432"/>
      <c r="V39" s="432"/>
      <c r="W39" s="432"/>
      <c r="X39" s="433"/>
      <c r="Y39" s="464"/>
      <c r="Z39" s="466"/>
      <c r="AA39" s="464"/>
      <c r="AB39" s="465"/>
      <c r="AC39" s="465"/>
      <c r="AD39" s="465"/>
      <c r="AE39" s="466"/>
    </row>
    <row r="40" spans="1:32" ht="16.5" customHeight="1">
      <c r="A40" s="446" t="s">
        <v>447</v>
      </c>
      <c r="B40" s="447"/>
      <c r="C40" s="447"/>
      <c r="D40" s="447"/>
      <c r="E40" s="447"/>
      <c r="F40" s="447"/>
      <c r="G40" s="447"/>
      <c r="H40" s="447"/>
      <c r="I40" s="447"/>
      <c r="J40" s="447"/>
      <c r="K40" s="447"/>
      <c r="L40" s="447"/>
      <c r="M40" s="447"/>
      <c r="N40" s="447"/>
      <c r="O40" s="447"/>
      <c r="P40" s="447"/>
      <c r="Q40" s="447"/>
      <c r="R40" s="447"/>
      <c r="S40" s="448"/>
      <c r="T40" s="446" t="s">
        <v>412</v>
      </c>
      <c r="U40" s="447"/>
      <c r="V40" s="447"/>
      <c r="W40" s="447"/>
      <c r="X40" s="447"/>
      <c r="Y40" s="447"/>
      <c r="Z40" s="447"/>
      <c r="AA40" s="447"/>
      <c r="AB40" s="447"/>
      <c r="AC40" s="447"/>
      <c r="AD40" s="447"/>
      <c r="AE40" s="448"/>
      <c r="AF40" s="27"/>
    </row>
    <row r="41" spans="1:32" ht="9.9499999999999993" customHeight="1">
      <c r="A41" s="467"/>
      <c r="B41" s="468"/>
      <c r="C41" s="468"/>
      <c r="D41" s="468"/>
      <c r="E41" s="468"/>
      <c r="F41" s="468"/>
      <c r="G41" s="468"/>
      <c r="H41" s="468"/>
      <c r="I41" s="468"/>
      <c r="J41" s="468"/>
      <c r="K41" s="468"/>
      <c r="L41" s="468"/>
      <c r="M41" s="468"/>
      <c r="N41" s="468"/>
      <c r="O41" s="468"/>
      <c r="P41" s="468"/>
      <c r="Q41" s="468"/>
      <c r="R41" s="468"/>
      <c r="S41" s="469"/>
      <c r="T41" s="577" t="s">
        <v>448</v>
      </c>
      <c r="U41" s="578"/>
      <c r="V41" s="578"/>
      <c r="W41" s="578"/>
      <c r="X41" s="578"/>
      <c r="Y41" s="578"/>
      <c r="Z41" s="578"/>
      <c r="AA41" s="578"/>
      <c r="AB41" s="578"/>
      <c r="AC41" s="578"/>
      <c r="AD41" s="578"/>
      <c r="AE41" s="579"/>
      <c r="AF41" s="27"/>
    </row>
    <row r="42" spans="1:32" ht="33.950000000000003" customHeight="1">
      <c r="A42" s="453"/>
      <c r="B42" s="499" t="s">
        <v>449</v>
      </c>
      <c r="C42" s="500"/>
      <c r="D42" s="500"/>
      <c r="E42" s="500"/>
      <c r="F42" s="500"/>
      <c r="G42" s="501"/>
      <c r="H42" s="479" t="s">
        <v>450</v>
      </c>
      <c r="I42" s="480"/>
      <c r="J42" s="480"/>
      <c r="K42" s="480"/>
      <c r="L42" s="480"/>
      <c r="M42" s="480"/>
      <c r="N42" s="480"/>
      <c r="O42" s="480"/>
      <c r="P42" s="480"/>
      <c r="Q42" s="481"/>
      <c r="R42" s="491"/>
      <c r="S42" s="493"/>
      <c r="T42" s="580"/>
      <c r="U42" s="581"/>
      <c r="V42" s="581"/>
      <c r="W42" s="581"/>
      <c r="X42" s="581"/>
      <c r="Y42" s="581"/>
      <c r="Z42" s="581"/>
      <c r="AA42" s="581"/>
      <c r="AB42" s="581"/>
      <c r="AC42" s="581"/>
      <c r="AD42" s="581"/>
      <c r="AE42" s="582"/>
      <c r="AF42" s="28"/>
    </row>
    <row r="43" spans="1:32" ht="31.5" customHeight="1">
      <c r="A43" s="453"/>
      <c r="B43" s="565" t="s">
        <v>451</v>
      </c>
      <c r="C43" s="566"/>
      <c r="D43" s="566"/>
      <c r="E43" s="566"/>
      <c r="F43" s="566"/>
      <c r="G43" s="567"/>
      <c r="H43" s="568">
        <v>1.48</v>
      </c>
      <c r="I43" s="569"/>
      <c r="J43" s="569"/>
      <c r="K43" s="569"/>
      <c r="L43" s="569"/>
      <c r="M43" s="569"/>
      <c r="N43" s="569"/>
      <c r="O43" s="569"/>
      <c r="P43" s="569"/>
      <c r="Q43" s="570"/>
      <c r="R43" s="491"/>
      <c r="S43" s="493"/>
      <c r="T43" s="580"/>
      <c r="U43" s="581"/>
      <c r="V43" s="581"/>
      <c r="W43" s="581"/>
      <c r="X43" s="581"/>
      <c r="Y43" s="581"/>
      <c r="Z43" s="581"/>
      <c r="AA43" s="581"/>
      <c r="AB43" s="581"/>
      <c r="AC43" s="581"/>
      <c r="AD43" s="581"/>
      <c r="AE43" s="582"/>
      <c r="AF43" s="333">
        <f>H43</f>
        <v>1.48</v>
      </c>
    </row>
    <row r="44" spans="1:32" ht="31.5" customHeight="1">
      <c r="A44" s="453"/>
      <c r="B44" s="565" t="s">
        <v>452</v>
      </c>
      <c r="C44" s="566"/>
      <c r="D44" s="566"/>
      <c r="E44" s="566"/>
      <c r="F44" s="566"/>
      <c r="G44" s="567"/>
      <c r="H44" s="568">
        <v>1.58</v>
      </c>
      <c r="I44" s="569"/>
      <c r="J44" s="569"/>
      <c r="K44" s="569"/>
      <c r="L44" s="569"/>
      <c r="M44" s="569"/>
      <c r="N44" s="569"/>
      <c r="O44" s="569"/>
      <c r="P44" s="569"/>
      <c r="Q44" s="570"/>
      <c r="R44" s="491"/>
      <c r="S44" s="493"/>
      <c r="T44" s="580"/>
      <c r="U44" s="581"/>
      <c r="V44" s="581"/>
      <c r="W44" s="581"/>
      <c r="X44" s="581"/>
      <c r="Y44" s="581"/>
      <c r="Z44" s="581"/>
      <c r="AA44" s="581"/>
      <c r="AB44" s="581"/>
      <c r="AC44" s="581"/>
      <c r="AD44" s="581"/>
      <c r="AE44" s="582"/>
      <c r="AF44" s="333">
        <f>H44</f>
        <v>1.58</v>
      </c>
    </row>
    <row r="45" spans="1:32" ht="26.1" customHeight="1">
      <c r="A45" s="453"/>
      <c r="B45" s="552" t="s">
        <v>453</v>
      </c>
      <c r="C45" s="553"/>
      <c r="D45" s="553"/>
      <c r="E45" s="553"/>
      <c r="F45" s="553"/>
      <c r="G45" s="554"/>
      <c r="H45" s="568">
        <v>2.02</v>
      </c>
      <c r="I45" s="569"/>
      <c r="J45" s="569"/>
      <c r="K45" s="569"/>
      <c r="L45" s="569"/>
      <c r="M45" s="569"/>
      <c r="N45" s="569"/>
      <c r="O45" s="569"/>
      <c r="P45" s="569"/>
      <c r="Q45" s="570"/>
      <c r="R45" s="491"/>
      <c r="S45" s="493"/>
      <c r="T45" s="580"/>
      <c r="U45" s="581"/>
      <c r="V45" s="581"/>
      <c r="W45" s="581"/>
      <c r="X45" s="581"/>
      <c r="Y45" s="581"/>
      <c r="Z45" s="581"/>
      <c r="AA45" s="581"/>
      <c r="AB45" s="581"/>
      <c r="AC45" s="581"/>
      <c r="AD45" s="581"/>
      <c r="AE45" s="582"/>
      <c r="AF45" s="333">
        <f>H45</f>
        <v>2.02</v>
      </c>
    </row>
    <row r="46" spans="1:32" ht="26.1" customHeight="1">
      <c r="A46" s="453"/>
      <c r="B46" s="552" t="s">
        <v>454</v>
      </c>
      <c r="C46" s="553"/>
      <c r="D46" s="553"/>
      <c r="E46" s="553"/>
      <c r="F46" s="553"/>
      <c r="G46" s="554"/>
      <c r="H46" s="568">
        <v>1.67</v>
      </c>
      <c r="I46" s="569"/>
      <c r="J46" s="569"/>
      <c r="K46" s="569"/>
      <c r="L46" s="569"/>
      <c r="M46" s="569"/>
      <c r="N46" s="569"/>
      <c r="O46" s="569"/>
      <c r="P46" s="569"/>
      <c r="Q46" s="570"/>
      <c r="R46" s="491"/>
      <c r="S46" s="493"/>
      <c r="T46" s="580"/>
      <c r="U46" s="581"/>
      <c r="V46" s="581"/>
      <c r="W46" s="581"/>
      <c r="X46" s="581"/>
      <c r="Y46" s="581"/>
      <c r="Z46" s="581"/>
      <c r="AA46" s="581"/>
      <c r="AB46" s="581"/>
      <c r="AC46" s="581"/>
      <c r="AD46" s="581"/>
      <c r="AE46" s="582"/>
      <c r="AF46" s="333">
        <f>H46</f>
        <v>1.67</v>
      </c>
    </row>
    <row r="47" spans="1:32" ht="51.6" customHeight="1">
      <c r="A47" s="431" t="s">
        <v>455</v>
      </c>
      <c r="B47" s="432"/>
      <c r="C47" s="432"/>
      <c r="D47" s="432"/>
      <c r="E47" s="432"/>
      <c r="F47" s="432"/>
      <c r="G47" s="432"/>
      <c r="H47" s="432"/>
      <c r="I47" s="432"/>
      <c r="J47" s="432"/>
      <c r="K47" s="432"/>
      <c r="L47" s="432"/>
      <c r="M47" s="432"/>
      <c r="N47" s="432"/>
      <c r="O47" s="432"/>
      <c r="P47" s="432"/>
      <c r="Q47" s="432"/>
      <c r="R47" s="432"/>
      <c r="S47" s="433"/>
      <c r="T47" s="583"/>
      <c r="U47" s="584"/>
      <c r="V47" s="584"/>
      <c r="W47" s="584"/>
      <c r="X47" s="584"/>
      <c r="Y47" s="584"/>
      <c r="Z47" s="584"/>
      <c r="AA47" s="584"/>
      <c r="AB47" s="584"/>
      <c r="AC47" s="584"/>
      <c r="AD47" s="584"/>
      <c r="AE47" s="585"/>
      <c r="AF47" s="26"/>
    </row>
    <row r="48" spans="1:32" ht="37.35" customHeight="1">
      <c r="A48" s="561" t="s">
        <v>456</v>
      </c>
      <c r="B48" s="561"/>
      <c r="C48" s="561"/>
      <c r="D48" s="561"/>
      <c r="E48" s="561"/>
      <c r="F48" s="561"/>
      <c r="G48" s="561"/>
      <c r="H48" s="561"/>
      <c r="I48" s="561"/>
      <c r="J48" s="561"/>
      <c r="K48" s="561"/>
      <c r="L48" s="561"/>
      <c r="M48" s="561"/>
      <c r="N48" s="561"/>
      <c r="O48" s="561"/>
      <c r="P48" s="561"/>
      <c r="Q48" s="561"/>
      <c r="R48" s="561"/>
      <c r="S48" s="561"/>
      <c r="T48" s="561"/>
      <c r="U48" s="561"/>
      <c r="V48" s="561"/>
      <c r="W48" s="561"/>
      <c r="X48" s="561"/>
      <c r="Y48" s="561"/>
      <c r="Z48" s="561"/>
      <c r="AA48" s="561"/>
      <c r="AB48" s="561"/>
      <c r="AC48" s="561"/>
      <c r="AD48" s="561"/>
      <c r="AE48" s="561"/>
      <c r="AF48" s="561"/>
    </row>
    <row r="49" spans="1:37" ht="16.5" customHeight="1">
      <c r="A49" s="446" t="s">
        <v>411</v>
      </c>
      <c r="B49" s="447"/>
      <c r="C49" s="447"/>
      <c r="D49" s="447"/>
      <c r="E49" s="447"/>
      <c r="F49" s="447"/>
      <c r="G49" s="447"/>
      <c r="H49" s="447"/>
      <c r="I49" s="447"/>
      <c r="J49" s="447"/>
      <c r="K49" s="447"/>
      <c r="L49" s="447"/>
      <c r="M49" s="447"/>
      <c r="N49" s="447"/>
      <c r="O49" s="447"/>
      <c r="P49" s="447"/>
      <c r="Q49" s="447"/>
      <c r="R49" s="447"/>
      <c r="S49" s="448"/>
      <c r="T49" s="446" t="s">
        <v>412</v>
      </c>
      <c r="U49" s="447"/>
      <c r="V49" s="447"/>
      <c r="W49" s="447"/>
      <c r="X49" s="447"/>
      <c r="Y49" s="447"/>
      <c r="Z49" s="447"/>
      <c r="AA49" s="447"/>
      <c r="AB49" s="447"/>
      <c r="AC49" s="447"/>
      <c r="AD49" s="447"/>
      <c r="AE49" s="448"/>
      <c r="AF49" s="27"/>
    </row>
    <row r="50" spans="1:37" ht="12.95" customHeight="1">
      <c r="A50" s="467"/>
      <c r="B50" s="468"/>
      <c r="C50" s="468"/>
      <c r="D50" s="468"/>
      <c r="E50" s="468"/>
      <c r="F50" s="468"/>
      <c r="G50" s="468"/>
      <c r="H50" s="468"/>
      <c r="I50" s="468"/>
      <c r="J50" s="468"/>
      <c r="K50" s="468"/>
      <c r="L50" s="468"/>
      <c r="M50" s="468"/>
      <c r="N50" s="468"/>
      <c r="O50" s="468"/>
      <c r="P50" s="468"/>
      <c r="Q50" s="468"/>
      <c r="R50" s="468"/>
      <c r="S50" s="469"/>
      <c r="T50" s="488" t="s">
        <v>457</v>
      </c>
      <c r="U50" s="489"/>
      <c r="V50" s="489"/>
      <c r="W50" s="489"/>
      <c r="X50" s="489"/>
      <c r="Y50" s="489"/>
      <c r="Z50" s="489"/>
      <c r="AA50" s="489"/>
      <c r="AB50" s="489"/>
      <c r="AC50" s="489"/>
      <c r="AD50" s="489"/>
      <c r="AE50" s="490"/>
      <c r="AF50" s="27"/>
    </row>
    <row r="51" spans="1:37" ht="26.1" customHeight="1">
      <c r="A51" s="453"/>
      <c r="B51" s="499" t="s">
        <v>449</v>
      </c>
      <c r="C51" s="500"/>
      <c r="D51" s="500"/>
      <c r="E51" s="501"/>
      <c r="F51" s="562" t="s">
        <v>458</v>
      </c>
      <c r="G51" s="563"/>
      <c r="H51" s="563"/>
      <c r="I51" s="563"/>
      <c r="J51" s="563"/>
      <c r="K51" s="563"/>
      <c r="L51" s="563"/>
      <c r="M51" s="563"/>
      <c r="N51" s="563"/>
      <c r="O51" s="563"/>
      <c r="P51" s="563"/>
      <c r="Q51" s="563"/>
      <c r="R51" s="564"/>
      <c r="S51" s="453"/>
      <c r="T51" s="491"/>
      <c r="U51" s="492"/>
      <c r="V51" s="492"/>
      <c r="W51" s="492"/>
      <c r="X51" s="492"/>
      <c r="Y51" s="492"/>
      <c r="Z51" s="492"/>
      <c r="AA51" s="492"/>
      <c r="AB51" s="492"/>
      <c r="AC51" s="492"/>
      <c r="AD51" s="492"/>
      <c r="AE51" s="493"/>
      <c r="AF51" s="28"/>
    </row>
    <row r="52" spans="1:37" ht="15.75" customHeight="1">
      <c r="A52" s="453"/>
      <c r="B52" s="552" t="s">
        <v>459</v>
      </c>
      <c r="C52" s="553"/>
      <c r="D52" s="553"/>
      <c r="E52" s="554"/>
      <c r="F52" s="437">
        <v>0.46</v>
      </c>
      <c r="G52" s="438"/>
      <c r="H52" s="438"/>
      <c r="I52" s="438"/>
      <c r="J52" s="438"/>
      <c r="K52" s="438"/>
      <c r="L52" s="438"/>
      <c r="M52" s="438"/>
      <c r="N52" s="438"/>
      <c r="O52" s="438"/>
      <c r="P52" s="438"/>
      <c r="Q52" s="438"/>
      <c r="R52" s="439"/>
      <c r="S52" s="453"/>
      <c r="T52" s="491"/>
      <c r="U52" s="492"/>
      <c r="V52" s="492"/>
      <c r="W52" s="492"/>
      <c r="X52" s="492"/>
      <c r="Y52" s="492"/>
      <c r="Z52" s="492"/>
      <c r="AA52" s="492"/>
      <c r="AB52" s="492"/>
      <c r="AC52" s="492"/>
      <c r="AD52" s="492"/>
      <c r="AE52" s="493"/>
      <c r="AF52" s="27"/>
    </row>
    <row r="53" spans="1:37" ht="15.75" customHeight="1">
      <c r="A53" s="453"/>
      <c r="B53" s="552" t="s">
        <v>460</v>
      </c>
      <c r="C53" s="553"/>
      <c r="D53" s="553"/>
      <c r="E53" s="554"/>
      <c r="F53" s="437">
        <v>1.01</v>
      </c>
      <c r="G53" s="438"/>
      <c r="H53" s="438"/>
      <c r="I53" s="438"/>
      <c r="J53" s="438"/>
      <c r="K53" s="438"/>
      <c r="L53" s="438"/>
      <c r="M53" s="438"/>
      <c r="N53" s="438"/>
      <c r="O53" s="438"/>
      <c r="P53" s="438"/>
      <c r="Q53" s="438"/>
      <c r="R53" s="439"/>
      <c r="S53" s="453"/>
      <c r="T53" s="491"/>
      <c r="U53" s="492"/>
      <c r="V53" s="492"/>
      <c r="W53" s="492"/>
      <c r="X53" s="492"/>
      <c r="Y53" s="492"/>
      <c r="Z53" s="492"/>
      <c r="AA53" s="492"/>
      <c r="AB53" s="492"/>
      <c r="AC53" s="492"/>
      <c r="AD53" s="492"/>
      <c r="AE53" s="493"/>
      <c r="AF53" s="27"/>
    </row>
    <row r="54" spans="1:37" ht="191.1" customHeight="1">
      <c r="A54" s="464" t="s">
        <v>461</v>
      </c>
      <c r="B54" s="465"/>
      <c r="C54" s="465"/>
      <c r="D54" s="465"/>
      <c r="E54" s="465"/>
      <c r="F54" s="465"/>
      <c r="G54" s="465"/>
      <c r="H54" s="465"/>
      <c r="I54" s="465"/>
      <c r="J54" s="465"/>
      <c r="K54" s="465"/>
      <c r="L54" s="465"/>
      <c r="M54" s="465"/>
      <c r="N54" s="465"/>
      <c r="O54" s="465"/>
      <c r="P54" s="465"/>
      <c r="Q54" s="465"/>
      <c r="R54" s="465"/>
      <c r="S54" s="466"/>
      <c r="T54" s="464"/>
      <c r="U54" s="465"/>
      <c r="V54" s="465"/>
      <c r="W54" s="465"/>
      <c r="X54" s="465"/>
      <c r="Y54" s="465"/>
      <c r="Z54" s="465"/>
      <c r="AA54" s="465"/>
      <c r="AB54" s="465"/>
      <c r="AC54" s="465"/>
      <c r="AD54" s="465"/>
      <c r="AE54" s="466"/>
      <c r="AF54" s="26"/>
    </row>
    <row r="55" spans="1:37" ht="16.5" customHeight="1">
      <c r="A55" s="446" t="s">
        <v>411</v>
      </c>
      <c r="B55" s="447"/>
      <c r="C55" s="447"/>
      <c r="D55" s="447"/>
      <c r="E55" s="447"/>
      <c r="F55" s="447"/>
      <c r="G55" s="447"/>
      <c r="H55" s="447"/>
      <c r="I55" s="447"/>
      <c r="J55" s="447"/>
      <c r="K55" s="447"/>
      <c r="L55" s="447"/>
      <c r="M55" s="447"/>
      <c r="N55" s="447"/>
      <c r="O55" s="447"/>
      <c r="P55" s="447"/>
      <c r="Q55" s="447"/>
      <c r="R55" s="447"/>
      <c r="S55" s="447"/>
      <c r="T55" s="447"/>
      <c r="U55" s="447"/>
      <c r="V55" s="447"/>
      <c r="W55" s="447"/>
      <c r="X55" s="447"/>
      <c r="Y55" s="448"/>
      <c r="Z55" s="446" t="s">
        <v>412</v>
      </c>
      <c r="AA55" s="447"/>
      <c r="AB55" s="447"/>
      <c r="AC55" s="447"/>
      <c r="AD55" s="447"/>
      <c r="AE55" s="448"/>
    </row>
    <row r="56" spans="1:37" ht="12.95" customHeight="1">
      <c r="A56" s="467"/>
      <c r="B56" s="468"/>
      <c r="C56" s="468"/>
      <c r="D56" s="468"/>
      <c r="E56" s="468"/>
      <c r="F56" s="468"/>
      <c r="G56" s="468"/>
      <c r="H56" s="468"/>
      <c r="I56" s="468"/>
      <c r="J56" s="468"/>
      <c r="K56" s="468"/>
      <c r="L56" s="468"/>
      <c r="M56" s="468"/>
      <c r="N56" s="468"/>
      <c r="O56" s="468"/>
      <c r="P56" s="468"/>
      <c r="Q56" s="468"/>
      <c r="R56" s="468"/>
      <c r="S56" s="468"/>
      <c r="T56" s="468"/>
      <c r="U56" s="468"/>
      <c r="V56" s="468"/>
      <c r="W56" s="468"/>
      <c r="X56" s="468"/>
      <c r="Y56" s="469"/>
      <c r="Z56" s="488" t="s">
        <v>462</v>
      </c>
      <c r="AA56" s="489"/>
      <c r="AB56" s="489"/>
      <c r="AC56" s="489"/>
      <c r="AD56" s="489"/>
      <c r="AE56" s="490"/>
    </row>
    <row r="57" spans="1:37" ht="31.5" customHeight="1">
      <c r="A57" s="491"/>
      <c r="B57" s="493"/>
      <c r="C57" s="547" t="s">
        <v>463</v>
      </c>
      <c r="D57" s="548"/>
      <c r="E57" s="503" t="s">
        <v>464</v>
      </c>
      <c r="F57" s="504"/>
      <c r="G57" s="504"/>
      <c r="H57" s="504"/>
      <c r="I57" s="505"/>
      <c r="J57" s="503" t="s">
        <v>465</v>
      </c>
      <c r="K57" s="504"/>
      <c r="L57" s="504"/>
      <c r="M57" s="505"/>
      <c r="N57" s="549" t="s">
        <v>466</v>
      </c>
      <c r="O57" s="550"/>
      <c r="P57" s="550"/>
      <c r="Q57" s="550"/>
      <c r="R57" s="551"/>
      <c r="S57" s="549" t="s">
        <v>467</v>
      </c>
      <c r="T57" s="550"/>
      <c r="U57" s="550"/>
      <c r="V57" s="550"/>
      <c r="W57" s="550"/>
      <c r="X57" s="551"/>
      <c r="Y57" s="453"/>
      <c r="Z57" s="491"/>
      <c r="AA57" s="492"/>
      <c r="AB57" s="492"/>
      <c r="AC57" s="492"/>
      <c r="AD57" s="492"/>
      <c r="AE57" s="493"/>
      <c r="AH57" s="24" t="s">
        <v>164</v>
      </c>
      <c r="AI57" s="24" t="s">
        <v>168</v>
      </c>
      <c r="AJ57" s="24" t="s">
        <v>468</v>
      </c>
      <c r="AK57" s="115" t="s">
        <v>154</v>
      </c>
    </row>
    <row r="58" spans="1:37" ht="15.75" customHeight="1">
      <c r="A58" s="491"/>
      <c r="B58" s="493"/>
      <c r="C58" s="536">
        <v>2022</v>
      </c>
      <c r="D58" s="537"/>
      <c r="E58" s="538">
        <v>16600</v>
      </c>
      <c r="F58" s="539"/>
      <c r="G58" s="539"/>
      <c r="H58" s="539"/>
      <c r="I58" s="540"/>
      <c r="J58" s="538">
        <v>44300</v>
      </c>
      <c r="K58" s="539"/>
      <c r="L58" s="539"/>
      <c r="M58" s="540"/>
      <c r="N58" s="541">
        <v>796700</v>
      </c>
      <c r="O58" s="542"/>
      <c r="P58" s="542"/>
      <c r="Q58" s="542"/>
      <c r="R58" s="543"/>
      <c r="S58" s="544">
        <v>56</v>
      </c>
      <c r="T58" s="545"/>
      <c r="U58" s="545"/>
      <c r="V58" s="545"/>
      <c r="W58" s="545"/>
      <c r="X58" s="546"/>
      <c r="Y58" s="453"/>
      <c r="Z58" s="491"/>
      <c r="AA58" s="492"/>
      <c r="AB58" s="492"/>
      <c r="AC58" s="492"/>
      <c r="AD58" s="492"/>
      <c r="AE58" s="493"/>
      <c r="AG58" s="117">
        <v>2022</v>
      </c>
      <c r="AH58" s="116">
        <v>16600</v>
      </c>
      <c r="AI58" s="116">
        <v>44300</v>
      </c>
      <c r="AJ58" s="116">
        <v>796700</v>
      </c>
      <c r="AK58" s="115">
        <v>56</v>
      </c>
    </row>
    <row r="59" spans="1:37" ht="15.75" customHeight="1">
      <c r="A59" s="491"/>
      <c r="B59" s="493"/>
      <c r="C59" s="536">
        <v>2023</v>
      </c>
      <c r="D59" s="537"/>
      <c r="E59" s="538">
        <v>16800</v>
      </c>
      <c r="F59" s="539"/>
      <c r="G59" s="539"/>
      <c r="H59" s="539"/>
      <c r="I59" s="540"/>
      <c r="J59" s="538">
        <v>45100</v>
      </c>
      <c r="K59" s="539"/>
      <c r="L59" s="539"/>
      <c r="M59" s="540"/>
      <c r="N59" s="541">
        <v>810500</v>
      </c>
      <c r="O59" s="542"/>
      <c r="P59" s="542"/>
      <c r="Q59" s="542"/>
      <c r="R59" s="543"/>
      <c r="S59" s="544">
        <v>57</v>
      </c>
      <c r="T59" s="545"/>
      <c r="U59" s="545"/>
      <c r="V59" s="545"/>
      <c r="W59" s="545"/>
      <c r="X59" s="546"/>
      <c r="Y59" s="453"/>
      <c r="Z59" s="491"/>
      <c r="AA59" s="492"/>
      <c r="AB59" s="492"/>
      <c r="AC59" s="492"/>
      <c r="AD59" s="492"/>
      <c r="AE59" s="493"/>
      <c r="AG59" s="117">
        <v>2023</v>
      </c>
      <c r="AH59" s="116">
        <v>16800</v>
      </c>
      <c r="AI59" s="116">
        <v>45100</v>
      </c>
      <c r="AJ59" s="24">
        <v>810500</v>
      </c>
      <c r="AK59" s="115">
        <v>57</v>
      </c>
    </row>
    <row r="60" spans="1:37" ht="15.95" customHeight="1">
      <c r="A60" s="491"/>
      <c r="B60" s="493"/>
      <c r="C60" s="536">
        <v>2024</v>
      </c>
      <c r="D60" s="537"/>
      <c r="E60" s="538">
        <v>17000</v>
      </c>
      <c r="F60" s="539"/>
      <c r="G60" s="539"/>
      <c r="H60" s="539"/>
      <c r="I60" s="540"/>
      <c r="J60" s="538">
        <v>46000</v>
      </c>
      <c r="K60" s="539"/>
      <c r="L60" s="539"/>
      <c r="M60" s="540"/>
      <c r="N60" s="541">
        <v>824500</v>
      </c>
      <c r="O60" s="542"/>
      <c r="P60" s="542"/>
      <c r="Q60" s="542"/>
      <c r="R60" s="543"/>
      <c r="S60" s="544">
        <v>58</v>
      </c>
      <c r="T60" s="545"/>
      <c r="U60" s="545"/>
      <c r="V60" s="545"/>
      <c r="W60" s="545"/>
      <c r="X60" s="546"/>
      <c r="Y60" s="453"/>
      <c r="Z60" s="491"/>
      <c r="AA60" s="492"/>
      <c r="AB60" s="492"/>
      <c r="AC60" s="492"/>
      <c r="AD60" s="492"/>
      <c r="AE60" s="493"/>
      <c r="AG60" s="117">
        <v>2024</v>
      </c>
      <c r="AH60" s="116">
        <v>17000</v>
      </c>
      <c r="AI60" s="116">
        <v>46000</v>
      </c>
      <c r="AJ60" s="24">
        <v>824500</v>
      </c>
      <c r="AK60" s="115">
        <v>58</v>
      </c>
    </row>
    <row r="61" spans="1:37" ht="15.95" customHeight="1">
      <c r="A61" s="491"/>
      <c r="B61" s="493"/>
      <c r="C61" s="536">
        <v>2025</v>
      </c>
      <c r="D61" s="537"/>
      <c r="E61" s="538">
        <v>17200</v>
      </c>
      <c r="F61" s="539"/>
      <c r="G61" s="539"/>
      <c r="H61" s="539"/>
      <c r="I61" s="540"/>
      <c r="J61" s="538">
        <v>46900</v>
      </c>
      <c r="K61" s="539"/>
      <c r="L61" s="539"/>
      <c r="M61" s="540"/>
      <c r="N61" s="541">
        <v>838800</v>
      </c>
      <c r="O61" s="542"/>
      <c r="P61" s="542"/>
      <c r="Q61" s="542"/>
      <c r="R61" s="543"/>
      <c r="S61" s="544">
        <v>59</v>
      </c>
      <c r="T61" s="545"/>
      <c r="U61" s="545"/>
      <c r="V61" s="545"/>
      <c r="W61" s="545"/>
      <c r="X61" s="546"/>
      <c r="Y61" s="453"/>
      <c r="Z61" s="491"/>
      <c r="AA61" s="492"/>
      <c r="AB61" s="492"/>
      <c r="AC61" s="492"/>
      <c r="AD61" s="492"/>
      <c r="AE61" s="493"/>
      <c r="AG61" s="117">
        <v>2025</v>
      </c>
      <c r="AH61" s="116">
        <v>17200</v>
      </c>
      <c r="AI61" s="116">
        <v>46900</v>
      </c>
      <c r="AJ61" s="24">
        <v>838800</v>
      </c>
      <c r="AK61" s="115">
        <v>59</v>
      </c>
    </row>
    <row r="62" spans="1:37" ht="15.75" customHeight="1">
      <c r="A62" s="491"/>
      <c r="B62" s="493"/>
      <c r="C62" s="536">
        <v>2026</v>
      </c>
      <c r="D62" s="537"/>
      <c r="E62" s="538">
        <v>17500</v>
      </c>
      <c r="F62" s="539"/>
      <c r="G62" s="539"/>
      <c r="H62" s="539"/>
      <c r="I62" s="540"/>
      <c r="J62" s="538">
        <v>47800</v>
      </c>
      <c r="K62" s="539"/>
      <c r="L62" s="539"/>
      <c r="M62" s="540"/>
      <c r="N62" s="541">
        <v>852100</v>
      </c>
      <c r="O62" s="542"/>
      <c r="P62" s="542"/>
      <c r="Q62" s="542"/>
      <c r="R62" s="543"/>
      <c r="S62" s="544">
        <v>60</v>
      </c>
      <c r="T62" s="545"/>
      <c r="U62" s="545"/>
      <c r="V62" s="545"/>
      <c r="W62" s="545"/>
      <c r="X62" s="546"/>
      <c r="Y62" s="453"/>
      <c r="Z62" s="491"/>
      <c r="AA62" s="492"/>
      <c r="AB62" s="492"/>
      <c r="AC62" s="492"/>
      <c r="AD62" s="492"/>
      <c r="AE62" s="493"/>
      <c r="AG62" s="117">
        <v>2026</v>
      </c>
      <c r="AH62" s="116">
        <v>17500</v>
      </c>
      <c r="AI62" s="116">
        <v>47800</v>
      </c>
      <c r="AJ62" s="24">
        <v>852100</v>
      </c>
      <c r="AK62" s="115">
        <v>60</v>
      </c>
    </row>
    <row r="63" spans="1:37" ht="15.95" customHeight="1">
      <c r="A63" s="491"/>
      <c r="B63" s="493"/>
      <c r="C63" s="536">
        <v>2027</v>
      </c>
      <c r="D63" s="537"/>
      <c r="E63" s="538">
        <v>17900</v>
      </c>
      <c r="F63" s="539"/>
      <c r="G63" s="539"/>
      <c r="H63" s="539"/>
      <c r="I63" s="540"/>
      <c r="J63" s="538">
        <v>48700</v>
      </c>
      <c r="K63" s="539"/>
      <c r="L63" s="539"/>
      <c r="M63" s="540"/>
      <c r="N63" s="541">
        <v>865600</v>
      </c>
      <c r="O63" s="542"/>
      <c r="P63" s="542"/>
      <c r="Q63" s="542"/>
      <c r="R63" s="543"/>
      <c r="S63" s="544">
        <v>61</v>
      </c>
      <c r="T63" s="545"/>
      <c r="U63" s="545"/>
      <c r="V63" s="545"/>
      <c r="W63" s="545"/>
      <c r="X63" s="546"/>
      <c r="Y63" s="453"/>
      <c r="Z63" s="491"/>
      <c r="AA63" s="492"/>
      <c r="AB63" s="492"/>
      <c r="AC63" s="492"/>
      <c r="AD63" s="492"/>
      <c r="AE63" s="493"/>
      <c r="AG63" s="117">
        <v>2027</v>
      </c>
      <c r="AH63" s="116">
        <v>17900</v>
      </c>
      <c r="AI63" s="116">
        <v>48700</v>
      </c>
      <c r="AJ63" s="24">
        <v>865600</v>
      </c>
      <c r="AK63" s="115">
        <v>61</v>
      </c>
    </row>
    <row r="64" spans="1:37" ht="15.75" customHeight="1">
      <c r="A64" s="491"/>
      <c r="B64" s="493"/>
      <c r="C64" s="536">
        <v>2028</v>
      </c>
      <c r="D64" s="537"/>
      <c r="E64" s="538">
        <v>18200</v>
      </c>
      <c r="F64" s="539"/>
      <c r="G64" s="539"/>
      <c r="H64" s="539"/>
      <c r="I64" s="540"/>
      <c r="J64" s="538">
        <v>49500</v>
      </c>
      <c r="K64" s="539"/>
      <c r="L64" s="539"/>
      <c r="M64" s="540"/>
      <c r="N64" s="541">
        <v>879400</v>
      </c>
      <c r="O64" s="542"/>
      <c r="P64" s="542"/>
      <c r="Q64" s="542"/>
      <c r="R64" s="543"/>
      <c r="S64" s="544">
        <v>62</v>
      </c>
      <c r="T64" s="545"/>
      <c r="U64" s="545"/>
      <c r="V64" s="545"/>
      <c r="W64" s="545"/>
      <c r="X64" s="546"/>
      <c r="Y64" s="453"/>
      <c r="Z64" s="491"/>
      <c r="AA64" s="492"/>
      <c r="AB64" s="492"/>
      <c r="AC64" s="492"/>
      <c r="AD64" s="492"/>
      <c r="AE64" s="493"/>
      <c r="AG64" s="117">
        <v>2028</v>
      </c>
      <c r="AH64" s="116">
        <v>18200</v>
      </c>
      <c r="AI64" s="116">
        <v>49500</v>
      </c>
      <c r="AJ64" s="24">
        <v>879400</v>
      </c>
      <c r="AK64" s="115">
        <v>62</v>
      </c>
    </row>
    <row r="65" spans="1:37" ht="15.95" customHeight="1">
      <c r="A65" s="491"/>
      <c r="B65" s="493"/>
      <c r="C65" s="536">
        <v>2029</v>
      </c>
      <c r="D65" s="537"/>
      <c r="E65" s="538">
        <v>18600</v>
      </c>
      <c r="F65" s="539"/>
      <c r="G65" s="539"/>
      <c r="H65" s="539"/>
      <c r="I65" s="540"/>
      <c r="J65" s="538">
        <v>50400</v>
      </c>
      <c r="K65" s="539"/>
      <c r="L65" s="539"/>
      <c r="M65" s="540"/>
      <c r="N65" s="541">
        <v>893400</v>
      </c>
      <c r="O65" s="542"/>
      <c r="P65" s="542"/>
      <c r="Q65" s="542"/>
      <c r="R65" s="543"/>
      <c r="S65" s="544">
        <v>63</v>
      </c>
      <c r="T65" s="545"/>
      <c r="U65" s="545"/>
      <c r="V65" s="545"/>
      <c r="W65" s="545"/>
      <c r="X65" s="546"/>
      <c r="Y65" s="453"/>
      <c r="Z65" s="491"/>
      <c r="AA65" s="492"/>
      <c r="AB65" s="492"/>
      <c r="AC65" s="492"/>
      <c r="AD65" s="492"/>
      <c r="AE65" s="493"/>
      <c r="AG65" s="117">
        <v>2029</v>
      </c>
      <c r="AH65" s="116">
        <v>18600</v>
      </c>
      <c r="AI65" s="116">
        <v>50400</v>
      </c>
      <c r="AJ65" s="24">
        <v>893400</v>
      </c>
      <c r="AK65" s="115">
        <v>63</v>
      </c>
    </row>
    <row r="66" spans="1:37" ht="15.75" customHeight="1">
      <c r="A66" s="491"/>
      <c r="B66" s="493"/>
      <c r="C66" s="536">
        <v>2030</v>
      </c>
      <c r="D66" s="537"/>
      <c r="E66" s="538">
        <v>18900</v>
      </c>
      <c r="F66" s="539"/>
      <c r="G66" s="539"/>
      <c r="H66" s="539"/>
      <c r="I66" s="540"/>
      <c r="J66" s="538">
        <v>51300</v>
      </c>
      <c r="K66" s="539"/>
      <c r="L66" s="539"/>
      <c r="M66" s="540"/>
      <c r="N66" s="541">
        <v>907600</v>
      </c>
      <c r="O66" s="542"/>
      <c r="P66" s="542"/>
      <c r="Q66" s="542"/>
      <c r="R66" s="543"/>
      <c r="S66" s="544">
        <v>65</v>
      </c>
      <c r="T66" s="545"/>
      <c r="U66" s="545"/>
      <c r="V66" s="545"/>
      <c r="W66" s="545"/>
      <c r="X66" s="546"/>
      <c r="Y66" s="453"/>
      <c r="Z66" s="491"/>
      <c r="AA66" s="492"/>
      <c r="AB66" s="492"/>
      <c r="AC66" s="492"/>
      <c r="AD66" s="492"/>
      <c r="AE66" s="493"/>
      <c r="AG66" s="117">
        <v>2030</v>
      </c>
      <c r="AH66" s="116">
        <v>18900</v>
      </c>
      <c r="AI66" s="116">
        <v>51300</v>
      </c>
      <c r="AJ66" s="24">
        <v>907600</v>
      </c>
      <c r="AK66" s="115">
        <v>65</v>
      </c>
    </row>
    <row r="67" spans="1:37" ht="15.95" customHeight="1">
      <c r="A67" s="491"/>
      <c r="B67" s="493"/>
      <c r="C67" s="536">
        <v>2031</v>
      </c>
      <c r="D67" s="537"/>
      <c r="E67" s="538">
        <v>18900</v>
      </c>
      <c r="F67" s="539"/>
      <c r="G67" s="539"/>
      <c r="H67" s="539"/>
      <c r="I67" s="540"/>
      <c r="J67" s="538">
        <v>51300</v>
      </c>
      <c r="K67" s="539"/>
      <c r="L67" s="539"/>
      <c r="M67" s="540"/>
      <c r="N67" s="541">
        <v>907600</v>
      </c>
      <c r="O67" s="542"/>
      <c r="P67" s="542"/>
      <c r="Q67" s="542"/>
      <c r="R67" s="543"/>
      <c r="S67" s="544">
        <v>66</v>
      </c>
      <c r="T67" s="545"/>
      <c r="U67" s="545"/>
      <c r="V67" s="545"/>
      <c r="W67" s="545"/>
      <c r="X67" s="546"/>
      <c r="Y67" s="453"/>
      <c r="Z67" s="491"/>
      <c r="AA67" s="492"/>
      <c r="AB67" s="492"/>
      <c r="AC67" s="492"/>
      <c r="AD67" s="492"/>
      <c r="AE67" s="493"/>
      <c r="AG67" s="117">
        <v>2031</v>
      </c>
      <c r="AH67" s="116">
        <v>18900</v>
      </c>
      <c r="AI67" s="116">
        <v>51300</v>
      </c>
      <c r="AJ67" s="24">
        <v>907600</v>
      </c>
      <c r="AK67" s="115">
        <v>66</v>
      </c>
    </row>
    <row r="68" spans="1:37" ht="15.75" customHeight="1">
      <c r="A68" s="491"/>
      <c r="B68" s="493"/>
      <c r="C68" s="536">
        <v>2032</v>
      </c>
      <c r="D68" s="537"/>
      <c r="E68" s="538">
        <v>18900</v>
      </c>
      <c r="F68" s="539"/>
      <c r="G68" s="539"/>
      <c r="H68" s="539"/>
      <c r="I68" s="540"/>
      <c r="J68" s="538">
        <v>51300</v>
      </c>
      <c r="K68" s="539"/>
      <c r="L68" s="539"/>
      <c r="M68" s="540"/>
      <c r="N68" s="541">
        <v>907600</v>
      </c>
      <c r="O68" s="542"/>
      <c r="P68" s="542"/>
      <c r="Q68" s="542"/>
      <c r="R68" s="543"/>
      <c r="S68" s="544">
        <v>67</v>
      </c>
      <c r="T68" s="545"/>
      <c r="U68" s="545"/>
      <c r="V68" s="545"/>
      <c r="W68" s="545"/>
      <c r="X68" s="546"/>
      <c r="Y68" s="453"/>
      <c r="Z68" s="491"/>
      <c r="AA68" s="492"/>
      <c r="AB68" s="492"/>
      <c r="AC68" s="492"/>
      <c r="AD68" s="492"/>
      <c r="AE68" s="493"/>
      <c r="AG68" s="117">
        <v>2032</v>
      </c>
      <c r="AH68" s="116">
        <v>18900</v>
      </c>
      <c r="AI68" s="116">
        <v>51300</v>
      </c>
      <c r="AJ68" s="24">
        <v>907600</v>
      </c>
      <c r="AK68" s="115">
        <v>67</v>
      </c>
    </row>
    <row r="69" spans="1:37" ht="15.95" customHeight="1">
      <c r="A69" s="491"/>
      <c r="B69" s="493"/>
      <c r="C69" s="536">
        <v>2033</v>
      </c>
      <c r="D69" s="537"/>
      <c r="E69" s="538">
        <v>18900</v>
      </c>
      <c r="F69" s="539"/>
      <c r="G69" s="539"/>
      <c r="H69" s="539"/>
      <c r="I69" s="540"/>
      <c r="J69" s="538">
        <v>51300</v>
      </c>
      <c r="K69" s="539"/>
      <c r="L69" s="539"/>
      <c r="M69" s="540"/>
      <c r="N69" s="541">
        <v>907600</v>
      </c>
      <c r="O69" s="542"/>
      <c r="P69" s="542"/>
      <c r="Q69" s="542"/>
      <c r="R69" s="543"/>
      <c r="S69" s="544">
        <v>68</v>
      </c>
      <c r="T69" s="545"/>
      <c r="U69" s="545"/>
      <c r="V69" s="545"/>
      <c r="W69" s="545"/>
      <c r="X69" s="546"/>
      <c r="Y69" s="453"/>
      <c r="Z69" s="491"/>
      <c r="AA69" s="492"/>
      <c r="AB69" s="492"/>
      <c r="AC69" s="492"/>
      <c r="AD69" s="492"/>
      <c r="AE69" s="493"/>
      <c r="AG69" s="117">
        <v>2033</v>
      </c>
      <c r="AH69" s="116">
        <v>18900</v>
      </c>
      <c r="AI69" s="116">
        <v>51300</v>
      </c>
      <c r="AJ69" s="24">
        <v>907600</v>
      </c>
      <c r="AK69" s="115">
        <v>68</v>
      </c>
    </row>
    <row r="70" spans="1:37" ht="15.75" customHeight="1">
      <c r="A70" s="491"/>
      <c r="B70" s="493"/>
      <c r="C70" s="536">
        <v>2034</v>
      </c>
      <c r="D70" s="537"/>
      <c r="E70" s="538">
        <v>18900</v>
      </c>
      <c r="F70" s="539"/>
      <c r="G70" s="539"/>
      <c r="H70" s="539"/>
      <c r="I70" s="540"/>
      <c r="J70" s="538">
        <v>51300</v>
      </c>
      <c r="K70" s="539"/>
      <c r="L70" s="539"/>
      <c r="M70" s="540"/>
      <c r="N70" s="541">
        <v>907600</v>
      </c>
      <c r="O70" s="542"/>
      <c r="P70" s="542"/>
      <c r="Q70" s="542"/>
      <c r="R70" s="543"/>
      <c r="S70" s="544">
        <v>69</v>
      </c>
      <c r="T70" s="545"/>
      <c r="U70" s="545"/>
      <c r="V70" s="545"/>
      <c r="W70" s="545"/>
      <c r="X70" s="546"/>
      <c r="Y70" s="453"/>
      <c r="Z70" s="491"/>
      <c r="AA70" s="492"/>
      <c r="AB70" s="492"/>
      <c r="AC70" s="492"/>
      <c r="AD70" s="492"/>
      <c r="AE70" s="493"/>
      <c r="AG70" s="117">
        <v>2034</v>
      </c>
      <c r="AH70" s="116">
        <v>18900</v>
      </c>
      <c r="AI70" s="116">
        <v>51300</v>
      </c>
      <c r="AJ70" s="24">
        <v>907600</v>
      </c>
      <c r="AK70" s="115">
        <v>69</v>
      </c>
    </row>
    <row r="71" spans="1:37" ht="15.95" customHeight="1">
      <c r="A71" s="491"/>
      <c r="B71" s="493"/>
      <c r="C71" s="536">
        <v>2035</v>
      </c>
      <c r="D71" s="537"/>
      <c r="E71" s="538">
        <v>18900</v>
      </c>
      <c r="F71" s="539"/>
      <c r="G71" s="539"/>
      <c r="H71" s="539"/>
      <c r="I71" s="540"/>
      <c r="J71" s="538">
        <v>51300</v>
      </c>
      <c r="K71" s="539"/>
      <c r="L71" s="539"/>
      <c r="M71" s="540"/>
      <c r="N71" s="541">
        <v>907600</v>
      </c>
      <c r="O71" s="542"/>
      <c r="P71" s="542"/>
      <c r="Q71" s="542"/>
      <c r="R71" s="543"/>
      <c r="S71" s="544">
        <v>70</v>
      </c>
      <c r="T71" s="545"/>
      <c r="U71" s="545"/>
      <c r="V71" s="545"/>
      <c r="W71" s="545"/>
      <c r="X71" s="546"/>
      <c r="Y71" s="453"/>
      <c r="Z71" s="491"/>
      <c r="AA71" s="492"/>
      <c r="AB71" s="492"/>
      <c r="AC71" s="492"/>
      <c r="AD71" s="492"/>
      <c r="AE71" s="493"/>
      <c r="AG71" s="117">
        <v>2035</v>
      </c>
      <c r="AH71" s="116">
        <v>18900</v>
      </c>
      <c r="AI71" s="116">
        <v>51300</v>
      </c>
      <c r="AJ71" s="24">
        <v>907600</v>
      </c>
      <c r="AK71" s="115">
        <v>70</v>
      </c>
    </row>
    <row r="72" spans="1:37" ht="15.75" customHeight="1">
      <c r="A72" s="491"/>
      <c r="B72" s="493"/>
      <c r="C72" s="536">
        <v>2036</v>
      </c>
      <c r="D72" s="537"/>
      <c r="E72" s="538">
        <v>18900</v>
      </c>
      <c r="F72" s="539"/>
      <c r="G72" s="539"/>
      <c r="H72" s="539"/>
      <c r="I72" s="540"/>
      <c r="J72" s="538">
        <v>51300</v>
      </c>
      <c r="K72" s="539"/>
      <c r="L72" s="539"/>
      <c r="M72" s="540"/>
      <c r="N72" s="541">
        <v>907600</v>
      </c>
      <c r="O72" s="542"/>
      <c r="P72" s="542"/>
      <c r="Q72" s="542"/>
      <c r="R72" s="543"/>
      <c r="S72" s="544">
        <v>72</v>
      </c>
      <c r="T72" s="545"/>
      <c r="U72" s="545"/>
      <c r="V72" s="545"/>
      <c r="W72" s="545"/>
      <c r="X72" s="546"/>
      <c r="Y72" s="453"/>
      <c r="Z72" s="491"/>
      <c r="AA72" s="492"/>
      <c r="AB72" s="492"/>
      <c r="AC72" s="492"/>
      <c r="AD72" s="492"/>
      <c r="AE72" s="493"/>
      <c r="AG72" s="117">
        <v>2036</v>
      </c>
      <c r="AH72" s="116">
        <v>18900</v>
      </c>
      <c r="AI72" s="116">
        <v>51300</v>
      </c>
      <c r="AJ72" s="24">
        <v>907600</v>
      </c>
      <c r="AK72" s="115">
        <v>72</v>
      </c>
    </row>
    <row r="73" spans="1:37" ht="15.95" customHeight="1">
      <c r="A73" s="491"/>
      <c r="B73" s="493"/>
      <c r="C73" s="536">
        <v>2037</v>
      </c>
      <c r="D73" s="537"/>
      <c r="E73" s="538">
        <v>18900</v>
      </c>
      <c r="F73" s="539"/>
      <c r="G73" s="539"/>
      <c r="H73" s="539"/>
      <c r="I73" s="540"/>
      <c r="J73" s="538">
        <v>51300</v>
      </c>
      <c r="K73" s="539"/>
      <c r="L73" s="539"/>
      <c r="M73" s="540"/>
      <c r="N73" s="541">
        <v>907600</v>
      </c>
      <c r="O73" s="542"/>
      <c r="P73" s="542"/>
      <c r="Q73" s="542"/>
      <c r="R73" s="543"/>
      <c r="S73" s="544">
        <v>73</v>
      </c>
      <c r="T73" s="545"/>
      <c r="U73" s="545"/>
      <c r="V73" s="545"/>
      <c r="W73" s="545"/>
      <c r="X73" s="546"/>
      <c r="Y73" s="453"/>
      <c r="Z73" s="491"/>
      <c r="AA73" s="492"/>
      <c r="AB73" s="492"/>
      <c r="AC73" s="492"/>
      <c r="AD73" s="492"/>
      <c r="AE73" s="493"/>
      <c r="AG73" s="117">
        <v>2037</v>
      </c>
      <c r="AH73" s="116">
        <v>18900</v>
      </c>
      <c r="AI73" s="116">
        <v>51300</v>
      </c>
      <c r="AJ73" s="24">
        <v>907600</v>
      </c>
      <c r="AK73" s="115">
        <v>73</v>
      </c>
    </row>
    <row r="74" spans="1:37" ht="15.75" customHeight="1">
      <c r="A74" s="491"/>
      <c r="B74" s="493"/>
      <c r="C74" s="536">
        <v>2038</v>
      </c>
      <c r="D74" s="537"/>
      <c r="E74" s="538">
        <v>18900</v>
      </c>
      <c r="F74" s="539"/>
      <c r="G74" s="539"/>
      <c r="H74" s="539"/>
      <c r="I74" s="540"/>
      <c r="J74" s="538">
        <v>51300</v>
      </c>
      <c r="K74" s="539"/>
      <c r="L74" s="539"/>
      <c r="M74" s="540"/>
      <c r="N74" s="541">
        <v>907600</v>
      </c>
      <c r="O74" s="542"/>
      <c r="P74" s="542"/>
      <c r="Q74" s="542"/>
      <c r="R74" s="543"/>
      <c r="S74" s="544">
        <v>74</v>
      </c>
      <c r="T74" s="545"/>
      <c r="U74" s="545"/>
      <c r="V74" s="545"/>
      <c r="W74" s="545"/>
      <c r="X74" s="546"/>
      <c r="Y74" s="453"/>
      <c r="Z74" s="491"/>
      <c r="AA74" s="492"/>
      <c r="AB74" s="492"/>
      <c r="AC74" s="492"/>
      <c r="AD74" s="492"/>
      <c r="AE74" s="493"/>
      <c r="AG74" s="117">
        <v>2038</v>
      </c>
      <c r="AH74" s="116">
        <v>18900</v>
      </c>
      <c r="AI74" s="116">
        <v>51300</v>
      </c>
      <c r="AJ74" s="24">
        <v>907600</v>
      </c>
      <c r="AK74" s="115">
        <v>74</v>
      </c>
    </row>
    <row r="75" spans="1:37" ht="15.95" customHeight="1">
      <c r="A75" s="491"/>
      <c r="B75" s="493"/>
      <c r="C75" s="536">
        <v>2039</v>
      </c>
      <c r="D75" s="537"/>
      <c r="E75" s="538">
        <v>18900</v>
      </c>
      <c r="F75" s="539"/>
      <c r="G75" s="539"/>
      <c r="H75" s="539"/>
      <c r="I75" s="540"/>
      <c r="J75" s="538">
        <v>51300</v>
      </c>
      <c r="K75" s="539"/>
      <c r="L75" s="539"/>
      <c r="M75" s="540"/>
      <c r="N75" s="541">
        <v>907600</v>
      </c>
      <c r="O75" s="542"/>
      <c r="P75" s="542"/>
      <c r="Q75" s="542"/>
      <c r="R75" s="543"/>
      <c r="S75" s="544">
        <v>75</v>
      </c>
      <c r="T75" s="545"/>
      <c r="U75" s="545"/>
      <c r="V75" s="545"/>
      <c r="W75" s="545"/>
      <c r="X75" s="546"/>
      <c r="Y75" s="453"/>
      <c r="Z75" s="491"/>
      <c r="AA75" s="492"/>
      <c r="AB75" s="492"/>
      <c r="AC75" s="492"/>
      <c r="AD75" s="492"/>
      <c r="AE75" s="493"/>
      <c r="AG75" s="117">
        <v>2039</v>
      </c>
      <c r="AH75" s="116">
        <v>18900</v>
      </c>
      <c r="AI75" s="116">
        <v>51300</v>
      </c>
      <c r="AJ75" s="24">
        <v>907600</v>
      </c>
      <c r="AK75" s="115">
        <v>75</v>
      </c>
    </row>
    <row r="76" spans="1:37" ht="15.75" customHeight="1">
      <c r="A76" s="491"/>
      <c r="B76" s="493"/>
      <c r="C76" s="536">
        <v>2040</v>
      </c>
      <c r="D76" s="537"/>
      <c r="E76" s="538">
        <v>18900</v>
      </c>
      <c r="F76" s="539"/>
      <c r="G76" s="539"/>
      <c r="H76" s="539"/>
      <c r="I76" s="540"/>
      <c r="J76" s="538">
        <v>51300</v>
      </c>
      <c r="K76" s="539"/>
      <c r="L76" s="539"/>
      <c r="M76" s="540"/>
      <c r="N76" s="541">
        <v>907600</v>
      </c>
      <c r="O76" s="542"/>
      <c r="P76" s="542"/>
      <c r="Q76" s="542"/>
      <c r="R76" s="543"/>
      <c r="S76" s="544">
        <v>76</v>
      </c>
      <c r="T76" s="545"/>
      <c r="U76" s="545"/>
      <c r="V76" s="545"/>
      <c r="W76" s="545"/>
      <c r="X76" s="546"/>
      <c r="Y76" s="453"/>
      <c r="Z76" s="491"/>
      <c r="AA76" s="492"/>
      <c r="AB76" s="492"/>
      <c r="AC76" s="492"/>
      <c r="AD76" s="492"/>
      <c r="AE76" s="493"/>
      <c r="AG76" s="117">
        <v>2040</v>
      </c>
      <c r="AH76" s="116">
        <v>18900</v>
      </c>
      <c r="AI76" s="116">
        <v>51300</v>
      </c>
      <c r="AJ76" s="24">
        <v>907600</v>
      </c>
      <c r="AK76" s="115">
        <v>76</v>
      </c>
    </row>
    <row r="77" spans="1:37" ht="15.95" customHeight="1">
      <c r="A77" s="491"/>
      <c r="B77" s="493"/>
      <c r="C77" s="536">
        <v>2041</v>
      </c>
      <c r="D77" s="537"/>
      <c r="E77" s="538">
        <v>18900</v>
      </c>
      <c r="F77" s="539"/>
      <c r="G77" s="539"/>
      <c r="H77" s="539"/>
      <c r="I77" s="540"/>
      <c r="J77" s="538">
        <v>51300</v>
      </c>
      <c r="K77" s="539"/>
      <c r="L77" s="539"/>
      <c r="M77" s="540"/>
      <c r="N77" s="541">
        <v>907600</v>
      </c>
      <c r="O77" s="542"/>
      <c r="P77" s="542"/>
      <c r="Q77" s="542"/>
      <c r="R77" s="543"/>
      <c r="S77" s="544">
        <v>78</v>
      </c>
      <c r="T77" s="545"/>
      <c r="U77" s="545"/>
      <c r="V77" s="545"/>
      <c r="W77" s="545"/>
      <c r="X77" s="546"/>
      <c r="Y77" s="453"/>
      <c r="Z77" s="491"/>
      <c r="AA77" s="492"/>
      <c r="AB77" s="492"/>
      <c r="AC77" s="492"/>
      <c r="AD77" s="492"/>
      <c r="AE77" s="493"/>
      <c r="AG77" s="117">
        <v>2041</v>
      </c>
      <c r="AH77" s="116">
        <v>18900</v>
      </c>
      <c r="AI77" s="116">
        <v>51300</v>
      </c>
      <c r="AJ77" s="24">
        <v>907600</v>
      </c>
      <c r="AK77" s="115">
        <v>78</v>
      </c>
    </row>
    <row r="78" spans="1:37" ht="15.75" customHeight="1">
      <c r="A78" s="491"/>
      <c r="B78" s="493"/>
      <c r="C78" s="536">
        <v>2042</v>
      </c>
      <c r="D78" s="537"/>
      <c r="E78" s="538">
        <v>18900</v>
      </c>
      <c r="F78" s="539"/>
      <c r="G78" s="539"/>
      <c r="H78" s="539"/>
      <c r="I78" s="540"/>
      <c r="J78" s="538">
        <v>51300</v>
      </c>
      <c r="K78" s="539"/>
      <c r="L78" s="539"/>
      <c r="M78" s="540"/>
      <c r="N78" s="541">
        <v>907600</v>
      </c>
      <c r="O78" s="542"/>
      <c r="P78" s="542"/>
      <c r="Q78" s="542"/>
      <c r="R78" s="543"/>
      <c r="S78" s="544">
        <v>79</v>
      </c>
      <c r="T78" s="545"/>
      <c r="U78" s="545"/>
      <c r="V78" s="545"/>
      <c r="W78" s="545"/>
      <c r="X78" s="546"/>
      <c r="Y78" s="453"/>
      <c r="Z78" s="491"/>
      <c r="AA78" s="492"/>
      <c r="AB78" s="492"/>
      <c r="AC78" s="492"/>
      <c r="AD78" s="492"/>
      <c r="AE78" s="493"/>
      <c r="AG78" s="117">
        <v>2042</v>
      </c>
      <c r="AH78" s="116">
        <v>18900</v>
      </c>
      <c r="AI78" s="116">
        <v>51300</v>
      </c>
      <c r="AJ78" s="24">
        <v>907600</v>
      </c>
      <c r="AK78" s="115">
        <v>79</v>
      </c>
    </row>
    <row r="79" spans="1:37" ht="15.95" customHeight="1">
      <c r="A79" s="491"/>
      <c r="B79" s="493"/>
      <c r="C79" s="536">
        <v>2043</v>
      </c>
      <c r="D79" s="537"/>
      <c r="E79" s="538">
        <v>18900</v>
      </c>
      <c r="F79" s="539"/>
      <c r="G79" s="539"/>
      <c r="H79" s="539"/>
      <c r="I79" s="540"/>
      <c r="J79" s="538">
        <v>51300</v>
      </c>
      <c r="K79" s="539"/>
      <c r="L79" s="539"/>
      <c r="M79" s="540"/>
      <c r="N79" s="541">
        <v>907600</v>
      </c>
      <c r="O79" s="542"/>
      <c r="P79" s="542"/>
      <c r="Q79" s="542"/>
      <c r="R79" s="543"/>
      <c r="S79" s="544">
        <v>80</v>
      </c>
      <c r="T79" s="545"/>
      <c r="U79" s="545"/>
      <c r="V79" s="545"/>
      <c r="W79" s="545"/>
      <c r="X79" s="546"/>
      <c r="Y79" s="453"/>
      <c r="Z79" s="491"/>
      <c r="AA79" s="492"/>
      <c r="AB79" s="492"/>
      <c r="AC79" s="492"/>
      <c r="AD79" s="492"/>
      <c r="AE79" s="493"/>
      <c r="AG79" s="117">
        <v>2043</v>
      </c>
      <c r="AH79" s="116">
        <v>18900</v>
      </c>
      <c r="AI79" s="116">
        <v>51300</v>
      </c>
      <c r="AJ79" s="24">
        <v>907600</v>
      </c>
      <c r="AK79" s="115">
        <v>80</v>
      </c>
    </row>
    <row r="80" spans="1:37" ht="15.75" customHeight="1">
      <c r="A80" s="491"/>
      <c r="B80" s="493"/>
      <c r="C80" s="536">
        <v>2044</v>
      </c>
      <c r="D80" s="537"/>
      <c r="E80" s="538">
        <v>18900</v>
      </c>
      <c r="F80" s="539"/>
      <c r="G80" s="539"/>
      <c r="H80" s="539"/>
      <c r="I80" s="540"/>
      <c r="J80" s="538">
        <v>51300</v>
      </c>
      <c r="K80" s="539"/>
      <c r="L80" s="539"/>
      <c r="M80" s="540"/>
      <c r="N80" s="541">
        <v>907600</v>
      </c>
      <c r="O80" s="542"/>
      <c r="P80" s="542"/>
      <c r="Q80" s="542"/>
      <c r="R80" s="543"/>
      <c r="S80" s="544">
        <v>81</v>
      </c>
      <c r="T80" s="545"/>
      <c r="U80" s="545"/>
      <c r="V80" s="545"/>
      <c r="W80" s="545"/>
      <c r="X80" s="546"/>
      <c r="Y80" s="453"/>
      <c r="Z80" s="491"/>
      <c r="AA80" s="492"/>
      <c r="AB80" s="492"/>
      <c r="AC80" s="492"/>
      <c r="AD80" s="492"/>
      <c r="AE80" s="493"/>
      <c r="AG80" s="117">
        <v>2044</v>
      </c>
      <c r="AH80" s="116">
        <v>18900</v>
      </c>
      <c r="AI80" s="116">
        <v>51300</v>
      </c>
      <c r="AJ80" s="24">
        <v>907600</v>
      </c>
      <c r="AK80" s="115">
        <v>81</v>
      </c>
    </row>
    <row r="81" spans="1:37" ht="15.95" customHeight="1">
      <c r="A81" s="491"/>
      <c r="B81" s="493"/>
      <c r="C81" s="536">
        <v>2045</v>
      </c>
      <c r="D81" s="537"/>
      <c r="E81" s="538">
        <v>18900</v>
      </c>
      <c r="F81" s="539"/>
      <c r="G81" s="539"/>
      <c r="H81" s="539"/>
      <c r="I81" s="540"/>
      <c r="J81" s="538">
        <v>51300</v>
      </c>
      <c r="K81" s="539"/>
      <c r="L81" s="539"/>
      <c r="M81" s="540"/>
      <c r="N81" s="541">
        <v>907600</v>
      </c>
      <c r="O81" s="542"/>
      <c r="P81" s="542"/>
      <c r="Q81" s="542"/>
      <c r="R81" s="543"/>
      <c r="S81" s="544">
        <v>82</v>
      </c>
      <c r="T81" s="545"/>
      <c r="U81" s="545"/>
      <c r="V81" s="545"/>
      <c r="W81" s="545"/>
      <c r="X81" s="546"/>
      <c r="Y81" s="453"/>
      <c r="Z81" s="491"/>
      <c r="AA81" s="492"/>
      <c r="AB81" s="492"/>
      <c r="AC81" s="492"/>
      <c r="AD81" s="492"/>
      <c r="AE81" s="493"/>
      <c r="AG81" s="117">
        <v>2045</v>
      </c>
      <c r="AH81" s="116">
        <v>18900</v>
      </c>
      <c r="AI81" s="116">
        <v>51300</v>
      </c>
      <c r="AJ81" s="24">
        <v>907600</v>
      </c>
      <c r="AK81" s="115">
        <v>82</v>
      </c>
    </row>
    <row r="82" spans="1:37" ht="15.75" customHeight="1">
      <c r="A82" s="491"/>
      <c r="B82" s="493"/>
      <c r="C82" s="536">
        <v>2046</v>
      </c>
      <c r="D82" s="537"/>
      <c r="E82" s="538">
        <v>18900</v>
      </c>
      <c r="F82" s="539"/>
      <c r="G82" s="539"/>
      <c r="H82" s="539"/>
      <c r="I82" s="540"/>
      <c r="J82" s="538">
        <v>51300</v>
      </c>
      <c r="K82" s="539"/>
      <c r="L82" s="539"/>
      <c r="M82" s="540"/>
      <c r="N82" s="541">
        <v>907600</v>
      </c>
      <c r="O82" s="542"/>
      <c r="P82" s="542"/>
      <c r="Q82" s="542"/>
      <c r="R82" s="543"/>
      <c r="S82" s="544">
        <v>84</v>
      </c>
      <c r="T82" s="545"/>
      <c r="U82" s="545"/>
      <c r="V82" s="545"/>
      <c r="W82" s="545"/>
      <c r="X82" s="546"/>
      <c r="Y82" s="453"/>
      <c r="Z82" s="491"/>
      <c r="AA82" s="492"/>
      <c r="AB82" s="492"/>
      <c r="AC82" s="492"/>
      <c r="AD82" s="492"/>
      <c r="AE82" s="493"/>
      <c r="AG82" s="117">
        <v>2046</v>
      </c>
      <c r="AH82" s="116">
        <v>18900</v>
      </c>
      <c r="AI82" s="116">
        <v>51300</v>
      </c>
      <c r="AJ82" s="24">
        <v>907600</v>
      </c>
      <c r="AK82" s="115">
        <v>84</v>
      </c>
    </row>
    <row r="83" spans="1:37" ht="15.95" customHeight="1">
      <c r="A83" s="491"/>
      <c r="B83" s="493"/>
      <c r="C83" s="536">
        <v>2047</v>
      </c>
      <c r="D83" s="537"/>
      <c r="E83" s="538">
        <v>18900</v>
      </c>
      <c r="F83" s="539"/>
      <c r="G83" s="539"/>
      <c r="H83" s="539"/>
      <c r="I83" s="540"/>
      <c r="J83" s="538">
        <v>51300</v>
      </c>
      <c r="K83" s="539"/>
      <c r="L83" s="539"/>
      <c r="M83" s="540"/>
      <c r="N83" s="541">
        <v>907600</v>
      </c>
      <c r="O83" s="542"/>
      <c r="P83" s="542"/>
      <c r="Q83" s="542"/>
      <c r="R83" s="543"/>
      <c r="S83" s="544">
        <v>85</v>
      </c>
      <c r="T83" s="545"/>
      <c r="U83" s="545"/>
      <c r="V83" s="545"/>
      <c r="W83" s="545"/>
      <c r="X83" s="546"/>
      <c r="Y83" s="453"/>
      <c r="Z83" s="491"/>
      <c r="AA83" s="492"/>
      <c r="AB83" s="492"/>
      <c r="AC83" s="492"/>
      <c r="AD83" s="492"/>
      <c r="AE83" s="493"/>
      <c r="AG83" s="117">
        <v>2047</v>
      </c>
      <c r="AH83" s="116">
        <v>18900</v>
      </c>
      <c r="AI83" s="116">
        <v>51300</v>
      </c>
      <c r="AJ83" s="24">
        <v>907600</v>
      </c>
      <c r="AK83" s="115">
        <v>85</v>
      </c>
    </row>
    <row r="84" spans="1:37" ht="15.75" customHeight="1">
      <c r="A84" s="491"/>
      <c r="B84" s="493"/>
      <c r="C84" s="536">
        <v>2048</v>
      </c>
      <c r="D84" s="537"/>
      <c r="E84" s="538">
        <v>18900</v>
      </c>
      <c r="F84" s="539"/>
      <c r="G84" s="539"/>
      <c r="H84" s="539"/>
      <c r="I84" s="540"/>
      <c r="J84" s="538">
        <v>51300</v>
      </c>
      <c r="K84" s="539"/>
      <c r="L84" s="539"/>
      <c r="M84" s="540"/>
      <c r="N84" s="541">
        <v>907600</v>
      </c>
      <c r="O84" s="542"/>
      <c r="P84" s="542"/>
      <c r="Q84" s="542"/>
      <c r="R84" s="543"/>
      <c r="S84" s="544">
        <v>86</v>
      </c>
      <c r="T84" s="545"/>
      <c r="U84" s="545"/>
      <c r="V84" s="545"/>
      <c r="W84" s="545"/>
      <c r="X84" s="546"/>
      <c r="Y84" s="453"/>
      <c r="Z84" s="491"/>
      <c r="AA84" s="492"/>
      <c r="AB84" s="492"/>
      <c r="AC84" s="492"/>
      <c r="AD84" s="492"/>
      <c r="AE84" s="493"/>
      <c r="AG84" s="117">
        <v>2048</v>
      </c>
      <c r="AH84" s="116">
        <v>18900</v>
      </c>
      <c r="AI84" s="116">
        <v>51300</v>
      </c>
      <c r="AJ84" s="24">
        <v>907600</v>
      </c>
      <c r="AK84" s="115">
        <v>86</v>
      </c>
    </row>
    <row r="85" spans="1:37" ht="15.95" customHeight="1">
      <c r="A85" s="491"/>
      <c r="B85" s="493"/>
      <c r="C85" s="536">
        <v>2049</v>
      </c>
      <c r="D85" s="537"/>
      <c r="E85" s="538">
        <v>18900</v>
      </c>
      <c r="F85" s="539"/>
      <c r="G85" s="539"/>
      <c r="H85" s="539"/>
      <c r="I85" s="540"/>
      <c r="J85" s="538">
        <v>51300</v>
      </c>
      <c r="K85" s="539"/>
      <c r="L85" s="539"/>
      <c r="M85" s="540"/>
      <c r="N85" s="541">
        <v>907600</v>
      </c>
      <c r="O85" s="542"/>
      <c r="P85" s="542"/>
      <c r="Q85" s="542"/>
      <c r="R85" s="543"/>
      <c r="S85" s="544">
        <v>87</v>
      </c>
      <c r="T85" s="545"/>
      <c r="U85" s="545"/>
      <c r="V85" s="545"/>
      <c r="W85" s="545"/>
      <c r="X85" s="546"/>
      <c r="Y85" s="453"/>
      <c r="Z85" s="491"/>
      <c r="AA85" s="492"/>
      <c r="AB85" s="492"/>
      <c r="AC85" s="492"/>
      <c r="AD85" s="492"/>
      <c r="AE85" s="493"/>
      <c r="AG85" s="117">
        <v>2049</v>
      </c>
      <c r="AH85" s="116">
        <v>18900</v>
      </c>
      <c r="AI85" s="116">
        <v>51300</v>
      </c>
      <c r="AJ85" s="24">
        <v>907600</v>
      </c>
      <c r="AK85" s="115">
        <v>87</v>
      </c>
    </row>
    <row r="86" spans="1:37" ht="15.75" customHeight="1">
      <c r="A86" s="491"/>
      <c r="B86" s="493"/>
      <c r="C86" s="536">
        <v>2050</v>
      </c>
      <c r="D86" s="537"/>
      <c r="E86" s="538">
        <v>18900</v>
      </c>
      <c r="F86" s="539"/>
      <c r="G86" s="539"/>
      <c r="H86" s="539"/>
      <c r="I86" s="540"/>
      <c r="J86" s="538">
        <v>51300</v>
      </c>
      <c r="K86" s="539"/>
      <c r="L86" s="539"/>
      <c r="M86" s="540"/>
      <c r="N86" s="541">
        <v>907600</v>
      </c>
      <c r="O86" s="542"/>
      <c r="P86" s="542"/>
      <c r="Q86" s="542"/>
      <c r="R86" s="543"/>
      <c r="S86" s="544">
        <v>88</v>
      </c>
      <c r="T86" s="545"/>
      <c r="U86" s="545"/>
      <c r="V86" s="545"/>
      <c r="W86" s="545"/>
      <c r="X86" s="546"/>
      <c r="Y86" s="453"/>
      <c r="Z86" s="491"/>
      <c r="AA86" s="492"/>
      <c r="AB86" s="492"/>
      <c r="AC86" s="492"/>
      <c r="AD86" s="492"/>
      <c r="AE86" s="493"/>
      <c r="AG86" s="117">
        <v>2050</v>
      </c>
      <c r="AH86" s="116">
        <v>18900</v>
      </c>
      <c r="AI86" s="116">
        <v>51300</v>
      </c>
      <c r="AJ86" s="24">
        <v>907600</v>
      </c>
      <c r="AK86" s="115">
        <v>88</v>
      </c>
    </row>
    <row r="87" spans="1:37" ht="63.75" customHeight="1">
      <c r="A87" s="464" t="s">
        <v>469</v>
      </c>
      <c r="B87" s="465"/>
      <c r="C87" s="465"/>
      <c r="D87" s="465"/>
      <c r="E87" s="465"/>
      <c r="F87" s="465"/>
      <c r="G87" s="465"/>
      <c r="H87" s="465"/>
      <c r="I87" s="465"/>
      <c r="J87" s="465"/>
      <c r="K87" s="465"/>
      <c r="L87" s="465"/>
      <c r="M87" s="465"/>
      <c r="N87" s="465"/>
      <c r="O87" s="465"/>
      <c r="P87" s="465"/>
      <c r="Q87" s="465"/>
      <c r="R87" s="465"/>
      <c r="S87" s="465"/>
      <c r="T87" s="465"/>
      <c r="U87" s="465"/>
      <c r="V87" s="465"/>
      <c r="W87" s="465"/>
      <c r="X87" s="465"/>
      <c r="Y87" s="466"/>
      <c r="Z87" s="464"/>
      <c r="AA87" s="465"/>
      <c r="AB87" s="465"/>
      <c r="AC87" s="465"/>
      <c r="AD87" s="465"/>
      <c r="AE87" s="466"/>
    </row>
    <row r="88" spans="1:37" ht="16.5" customHeight="1">
      <c r="A88" s="446" t="s">
        <v>447</v>
      </c>
      <c r="B88" s="447"/>
      <c r="C88" s="447"/>
      <c r="D88" s="447"/>
      <c r="E88" s="447"/>
      <c r="F88" s="447"/>
      <c r="G88" s="447"/>
      <c r="H88" s="447"/>
      <c r="I88" s="447"/>
      <c r="J88" s="447"/>
      <c r="K88" s="447"/>
      <c r="L88" s="447"/>
      <c r="M88" s="447"/>
      <c r="N88" s="447"/>
      <c r="O88" s="447"/>
      <c r="P88" s="447"/>
      <c r="Q88" s="447"/>
      <c r="R88" s="447"/>
      <c r="S88" s="448"/>
      <c r="T88" s="446" t="s">
        <v>412</v>
      </c>
      <c r="U88" s="447"/>
      <c r="V88" s="447"/>
      <c r="W88" s="447"/>
      <c r="X88" s="447"/>
      <c r="Y88" s="447"/>
      <c r="Z88" s="447"/>
      <c r="AA88" s="447"/>
      <c r="AB88" s="447"/>
      <c r="AC88" s="447"/>
      <c r="AD88" s="447"/>
      <c r="AE88" s="448"/>
    </row>
    <row r="89" spans="1:37" ht="12.95" customHeight="1">
      <c r="A89" s="467"/>
      <c r="B89" s="468"/>
      <c r="C89" s="468"/>
      <c r="D89" s="468"/>
      <c r="E89" s="468"/>
      <c r="F89" s="468"/>
      <c r="G89" s="468"/>
      <c r="H89" s="468"/>
      <c r="I89" s="468"/>
      <c r="J89" s="468"/>
      <c r="K89" s="468"/>
      <c r="L89" s="468"/>
      <c r="M89" s="468"/>
      <c r="N89" s="468"/>
      <c r="O89" s="468"/>
      <c r="P89" s="468"/>
      <c r="Q89" s="468"/>
      <c r="R89" s="468"/>
      <c r="S89" s="469"/>
      <c r="T89" s="488" t="s">
        <v>470</v>
      </c>
      <c r="U89" s="489"/>
      <c r="V89" s="489"/>
      <c r="W89" s="489"/>
      <c r="X89" s="489"/>
      <c r="Y89" s="489"/>
      <c r="Z89" s="489"/>
      <c r="AA89" s="489"/>
      <c r="AB89" s="489"/>
      <c r="AC89" s="489"/>
      <c r="AD89" s="489"/>
      <c r="AE89" s="490"/>
    </row>
    <row r="90" spans="1:37" ht="39" customHeight="1">
      <c r="A90" s="491"/>
      <c r="B90" s="493"/>
      <c r="C90" s="494" t="s">
        <v>471</v>
      </c>
      <c r="D90" s="502"/>
      <c r="E90" s="502"/>
      <c r="F90" s="495"/>
      <c r="G90" s="494" t="s">
        <v>472</v>
      </c>
      <c r="H90" s="502"/>
      <c r="I90" s="502"/>
      <c r="J90" s="502"/>
      <c r="K90" s="502"/>
      <c r="L90" s="502"/>
      <c r="M90" s="502"/>
      <c r="N90" s="502"/>
      <c r="O90" s="502"/>
      <c r="P90" s="502"/>
      <c r="Q90" s="502"/>
      <c r="R90" s="495"/>
      <c r="S90" s="453"/>
      <c r="T90" s="491"/>
      <c r="U90" s="492"/>
      <c r="V90" s="492"/>
      <c r="W90" s="492"/>
      <c r="X90" s="492"/>
      <c r="Y90" s="492"/>
      <c r="Z90" s="492"/>
      <c r="AA90" s="492"/>
      <c r="AB90" s="492"/>
      <c r="AC90" s="492"/>
      <c r="AD90" s="492"/>
      <c r="AE90" s="493"/>
    </row>
    <row r="91" spans="1:37" ht="15.75" customHeight="1">
      <c r="A91" s="491"/>
      <c r="B91" s="493"/>
      <c r="C91" s="527">
        <v>2003</v>
      </c>
      <c r="D91" s="528"/>
      <c r="E91" s="528"/>
      <c r="F91" s="529"/>
      <c r="G91" s="530">
        <v>1.44</v>
      </c>
      <c r="H91" s="531"/>
      <c r="I91" s="531"/>
      <c r="J91" s="531"/>
      <c r="K91" s="531"/>
      <c r="L91" s="531"/>
      <c r="M91" s="531"/>
      <c r="N91" s="531"/>
      <c r="O91" s="531"/>
      <c r="P91" s="531"/>
      <c r="Q91" s="531"/>
      <c r="R91" s="532"/>
      <c r="S91" s="453"/>
      <c r="T91" s="491"/>
      <c r="U91" s="492"/>
      <c r="V91" s="492"/>
      <c r="W91" s="492"/>
      <c r="X91" s="492"/>
      <c r="Y91" s="492"/>
      <c r="Z91" s="492"/>
      <c r="AA91" s="492"/>
      <c r="AB91" s="492"/>
      <c r="AC91" s="492"/>
      <c r="AD91" s="492"/>
      <c r="AE91" s="493"/>
      <c r="AF91" s="117">
        <f>C91</f>
        <v>2003</v>
      </c>
      <c r="AG91" s="321">
        <f>G91</f>
        <v>1.44</v>
      </c>
    </row>
    <row r="92" spans="1:37" ht="15.75" customHeight="1">
      <c r="A92" s="491"/>
      <c r="B92" s="493"/>
      <c r="C92" s="527">
        <v>2004</v>
      </c>
      <c r="D92" s="528"/>
      <c r="E92" s="528"/>
      <c r="F92" s="529"/>
      <c r="G92" s="530">
        <v>1.4</v>
      </c>
      <c r="H92" s="531"/>
      <c r="I92" s="531"/>
      <c r="J92" s="531"/>
      <c r="K92" s="531"/>
      <c r="L92" s="531"/>
      <c r="M92" s="531"/>
      <c r="N92" s="531"/>
      <c r="O92" s="531"/>
      <c r="P92" s="531"/>
      <c r="Q92" s="531"/>
      <c r="R92" s="532"/>
      <c r="S92" s="453"/>
      <c r="T92" s="491"/>
      <c r="U92" s="492"/>
      <c r="V92" s="492"/>
      <c r="W92" s="492"/>
      <c r="X92" s="492"/>
      <c r="Y92" s="492"/>
      <c r="Z92" s="492"/>
      <c r="AA92" s="492"/>
      <c r="AB92" s="492"/>
      <c r="AC92" s="492"/>
      <c r="AD92" s="492"/>
      <c r="AE92" s="493"/>
      <c r="AF92" s="117">
        <f t="shared" ref="AF92:AF109" si="0">C92</f>
        <v>2004</v>
      </c>
      <c r="AG92" s="321">
        <f t="shared" ref="AG92:AG109" si="1">G92</f>
        <v>1.4</v>
      </c>
    </row>
    <row r="93" spans="1:37" ht="15.75" customHeight="1">
      <c r="A93" s="491"/>
      <c r="B93" s="493"/>
      <c r="C93" s="527">
        <v>2005</v>
      </c>
      <c r="D93" s="528"/>
      <c r="E93" s="528"/>
      <c r="F93" s="529"/>
      <c r="G93" s="530">
        <v>1.36</v>
      </c>
      <c r="H93" s="531"/>
      <c r="I93" s="531"/>
      <c r="J93" s="531"/>
      <c r="K93" s="531"/>
      <c r="L93" s="531"/>
      <c r="M93" s="531"/>
      <c r="N93" s="531"/>
      <c r="O93" s="531"/>
      <c r="P93" s="531"/>
      <c r="Q93" s="531"/>
      <c r="R93" s="532"/>
      <c r="S93" s="453"/>
      <c r="T93" s="491"/>
      <c r="U93" s="492"/>
      <c r="V93" s="492"/>
      <c r="W93" s="492"/>
      <c r="X93" s="492"/>
      <c r="Y93" s="492"/>
      <c r="Z93" s="492"/>
      <c r="AA93" s="492"/>
      <c r="AB93" s="492"/>
      <c r="AC93" s="492"/>
      <c r="AD93" s="492"/>
      <c r="AE93" s="493"/>
      <c r="AF93" s="117">
        <f t="shared" si="0"/>
        <v>2005</v>
      </c>
      <c r="AG93" s="321">
        <f t="shared" si="1"/>
        <v>1.36</v>
      </c>
    </row>
    <row r="94" spans="1:37" ht="15.75" customHeight="1">
      <c r="A94" s="491"/>
      <c r="B94" s="493"/>
      <c r="C94" s="527">
        <v>2006</v>
      </c>
      <c r="D94" s="528"/>
      <c r="E94" s="528"/>
      <c r="F94" s="529"/>
      <c r="G94" s="530">
        <v>1.32</v>
      </c>
      <c r="H94" s="531"/>
      <c r="I94" s="531"/>
      <c r="J94" s="531"/>
      <c r="K94" s="531"/>
      <c r="L94" s="531"/>
      <c r="M94" s="531"/>
      <c r="N94" s="531"/>
      <c r="O94" s="531"/>
      <c r="P94" s="531"/>
      <c r="Q94" s="531"/>
      <c r="R94" s="532"/>
      <c r="S94" s="453"/>
      <c r="T94" s="491"/>
      <c r="U94" s="492"/>
      <c r="V94" s="492"/>
      <c r="W94" s="492"/>
      <c r="X94" s="492"/>
      <c r="Y94" s="492"/>
      <c r="Z94" s="492"/>
      <c r="AA94" s="492"/>
      <c r="AB94" s="492"/>
      <c r="AC94" s="492"/>
      <c r="AD94" s="492"/>
      <c r="AE94" s="493"/>
      <c r="AF94" s="117">
        <f t="shared" si="0"/>
        <v>2006</v>
      </c>
      <c r="AG94" s="321">
        <f t="shared" si="1"/>
        <v>1.32</v>
      </c>
    </row>
    <row r="95" spans="1:37" ht="15.75" customHeight="1">
      <c r="A95" s="491"/>
      <c r="B95" s="493"/>
      <c r="C95" s="527">
        <v>2007</v>
      </c>
      <c r="D95" s="528"/>
      <c r="E95" s="528"/>
      <c r="F95" s="529"/>
      <c r="G95" s="530">
        <v>1.28</v>
      </c>
      <c r="H95" s="531"/>
      <c r="I95" s="531"/>
      <c r="J95" s="531"/>
      <c r="K95" s="531"/>
      <c r="L95" s="531"/>
      <c r="M95" s="531"/>
      <c r="N95" s="531"/>
      <c r="O95" s="531"/>
      <c r="P95" s="531"/>
      <c r="Q95" s="531"/>
      <c r="R95" s="532"/>
      <c r="S95" s="453"/>
      <c r="T95" s="491"/>
      <c r="U95" s="492"/>
      <c r="V95" s="492"/>
      <c r="W95" s="492"/>
      <c r="X95" s="492"/>
      <c r="Y95" s="492"/>
      <c r="Z95" s="492"/>
      <c r="AA95" s="492"/>
      <c r="AB95" s="492"/>
      <c r="AC95" s="492"/>
      <c r="AD95" s="492"/>
      <c r="AE95" s="493"/>
      <c r="AF95" s="117">
        <f t="shared" si="0"/>
        <v>2007</v>
      </c>
      <c r="AG95" s="321">
        <f t="shared" si="1"/>
        <v>1.28</v>
      </c>
    </row>
    <row r="96" spans="1:37" ht="15.75" customHeight="1">
      <c r="A96" s="491"/>
      <c r="B96" s="493"/>
      <c r="C96" s="527">
        <v>2008</v>
      </c>
      <c r="D96" s="528"/>
      <c r="E96" s="528"/>
      <c r="F96" s="529"/>
      <c r="G96" s="530">
        <v>1.26</v>
      </c>
      <c r="H96" s="531"/>
      <c r="I96" s="531"/>
      <c r="J96" s="531"/>
      <c r="K96" s="531"/>
      <c r="L96" s="531"/>
      <c r="M96" s="531"/>
      <c r="N96" s="531"/>
      <c r="O96" s="531"/>
      <c r="P96" s="531"/>
      <c r="Q96" s="531"/>
      <c r="R96" s="532"/>
      <c r="S96" s="453"/>
      <c r="T96" s="491"/>
      <c r="U96" s="492"/>
      <c r="V96" s="492"/>
      <c r="W96" s="492"/>
      <c r="X96" s="492"/>
      <c r="Y96" s="492"/>
      <c r="Z96" s="492"/>
      <c r="AA96" s="492"/>
      <c r="AB96" s="492"/>
      <c r="AC96" s="492"/>
      <c r="AD96" s="492"/>
      <c r="AE96" s="493"/>
      <c r="AF96" s="117">
        <f t="shared" si="0"/>
        <v>2008</v>
      </c>
      <c r="AG96" s="321">
        <f t="shared" si="1"/>
        <v>1.26</v>
      </c>
    </row>
    <row r="97" spans="1:33" ht="15.75" customHeight="1">
      <c r="A97" s="491"/>
      <c r="B97" s="493"/>
      <c r="C97" s="527">
        <v>2009</v>
      </c>
      <c r="D97" s="528"/>
      <c r="E97" s="528"/>
      <c r="F97" s="529"/>
      <c r="G97" s="530">
        <v>1.25</v>
      </c>
      <c r="H97" s="531"/>
      <c r="I97" s="531"/>
      <c r="J97" s="531"/>
      <c r="K97" s="531"/>
      <c r="L97" s="531"/>
      <c r="M97" s="531"/>
      <c r="N97" s="531"/>
      <c r="O97" s="531"/>
      <c r="P97" s="531"/>
      <c r="Q97" s="531"/>
      <c r="R97" s="532"/>
      <c r="S97" s="453"/>
      <c r="T97" s="491"/>
      <c r="U97" s="492"/>
      <c r="V97" s="492"/>
      <c r="W97" s="492"/>
      <c r="X97" s="492"/>
      <c r="Y97" s="492"/>
      <c r="Z97" s="492"/>
      <c r="AA97" s="492"/>
      <c r="AB97" s="492"/>
      <c r="AC97" s="492"/>
      <c r="AD97" s="492"/>
      <c r="AE97" s="493"/>
      <c r="AF97" s="117">
        <f t="shared" si="0"/>
        <v>2009</v>
      </c>
      <c r="AG97" s="321">
        <f t="shared" si="1"/>
        <v>1.25</v>
      </c>
    </row>
    <row r="98" spans="1:33" ht="15.75" customHeight="1">
      <c r="A98" s="491"/>
      <c r="B98" s="493"/>
      <c r="C98" s="527">
        <v>2010</v>
      </c>
      <c r="D98" s="528"/>
      <c r="E98" s="528"/>
      <c r="F98" s="529"/>
      <c r="G98" s="530">
        <v>1.24</v>
      </c>
      <c r="H98" s="531"/>
      <c r="I98" s="531"/>
      <c r="J98" s="531"/>
      <c r="K98" s="531"/>
      <c r="L98" s="531"/>
      <c r="M98" s="531"/>
      <c r="N98" s="531"/>
      <c r="O98" s="531"/>
      <c r="P98" s="531"/>
      <c r="Q98" s="531"/>
      <c r="R98" s="532"/>
      <c r="S98" s="453"/>
      <c r="T98" s="491"/>
      <c r="U98" s="492"/>
      <c r="V98" s="492"/>
      <c r="W98" s="492"/>
      <c r="X98" s="492"/>
      <c r="Y98" s="492"/>
      <c r="Z98" s="492"/>
      <c r="AA98" s="492"/>
      <c r="AB98" s="492"/>
      <c r="AC98" s="492"/>
      <c r="AD98" s="492"/>
      <c r="AE98" s="493"/>
      <c r="AF98" s="117">
        <f t="shared" si="0"/>
        <v>2010</v>
      </c>
      <c r="AG98" s="321">
        <f t="shared" si="1"/>
        <v>1.24</v>
      </c>
    </row>
    <row r="99" spans="1:33" ht="15.75" customHeight="1">
      <c r="A99" s="491"/>
      <c r="B99" s="493"/>
      <c r="C99" s="527">
        <v>2011</v>
      </c>
      <c r="D99" s="528"/>
      <c r="E99" s="528"/>
      <c r="F99" s="529"/>
      <c r="G99" s="530">
        <v>1.21</v>
      </c>
      <c r="H99" s="531"/>
      <c r="I99" s="531"/>
      <c r="J99" s="531"/>
      <c r="K99" s="531"/>
      <c r="L99" s="531"/>
      <c r="M99" s="531"/>
      <c r="N99" s="531"/>
      <c r="O99" s="531"/>
      <c r="P99" s="531"/>
      <c r="Q99" s="531"/>
      <c r="R99" s="532"/>
      <c r="S99" s="453"/>
      <c r="T99" s="491"/>
      <c r="U99" s="492"/>
      <c r="V99" s="492"/>
      <c r="W99" s="492"/>
      <c r="X99" s="492"/>
      <c r="Y99" s="492"/>
      <c r="Z99" s="492"/>
      <c r="AA99" s="492"/>
      <c r="AB99" s="492"/>
      <c r="AC99" s="492"/>
      <c r="AD99" s="492"/>
      <c r="AE99" s="493"/>
      <c r="AF99" s="117">
        <f t="shared" si="0"/>
        <v>2011</v>
      </c>
      <c r="AG99" s="321">
        <f t="shared" si="1"/>
        <v>1.21</v>
      </c>
    </row>
    <row r="100" spans="1:33" ht="15.75" customHeight="1">
      <c r="A100" s="491"/>
      <c r="B100" s="493"/>
      <c r="C100" s="527">
        <v>2012</v>
      </c>
      <c r="D100" s="528"/>
      <c r="E100" s="528"/>
      <c r="F100" s="529"/>
      <c r="G100" s="530">
        <v>1.19</v>
      </c>
      <c r="H100" s="531"/>
      <c r="I100" s="531"/>
      <c r="J100" s="531"/>
      <c r="K100" s="531"/>
      <c r="L100" s="531"/>
      <c r="M100" s="531"/>
      <c r="N100" s="531"/>
      <c r="O100" s="531"/>
      <c r="P100" s="531"/>
      <c r="Q100" s="531"/>
      <c r="R100" s="532"/>
      <c r="S100" s="453"/>
      <c r="T100" s="491"/>
      <c r="U100" s="492"/>
      <c r="V100" s="492"/>
      <c r="W100" s="492"/>
      <c r="X100" s="492"/>
      <c r="Y100" s="492"/>
      <c r="Z100" s="492"/>
      <c r="AA100" s="492"/>
      <c r="AB100" s="492"/>
      <c r="AC100" s="492"/>
      <c r="AD100" s="492"/>
      <c r="AE100" s="493"/>
      <c r="AF100" s="117">
        <f t="shared" si="0"/>
        <v>2012</v>
      </c>
      <c r="AG100" s="321">
        <f t="shared" si="1"/>
        <v>1.19</v>
      </c>
    </row>
    <row r="101" spans="1:33" ht="15.75" customHeight="1">
      <c r="A101" s="491"/>
      <c r="B101" s="493"/>
      <c r="C101" s="527">
        <v>2013</v>
      </c>
      <c r="D101" s="528"/>
      <c r="E101" s="528"/>
      <c r="F101" s="529"/>
      <c r="G101" s="530">
        <v>1.17</v>
      </c>
      <c r="H101" s="531"/>
      <c r="I101" s="531"/>
      <c r="J101" s="531"/>
      <c r="K101" s="531"/>
      <c r="L101" s="531"/>
      <c r="M101" s="531"/>
      <c r="N101" s="531"/>
      <c r="O101" s="531"/>
      <c r="P101" s="531"/>
      <c r="Q101" s="531"/>
      <c r="R101" s="532"/>
      <c r="S101" s="453"/>
      <c r="T101" s="491"/>
      <c r="U101" s="492"/>
      <c r="V101" s="492"/>
      <c r="W101" s="492"/>
      <c r="X101" s="492"/>
      <c r="Y101" s="492"/>
      <c r="Z101" s="492"/>
      <c r="AA101" s="492"/>
      <c r="AB101" s="492"/>
      <c r="AC101" s="492"/>
      <c r="AD101" s="492"/>
      <c r="AE101" s="493"/>
      <c r="AF101" s="117">
        <f t="shared" si="0"/>
        <v>2013</v>
      </c>
      <c r="AG101" s="321">
        <f t="shared" si="1"/>
        <v>1.17</v>
      </c>
    </row>
    <row r="102" spans="1:33" ht="15.75" customHeight="1">
      <c r="A102" s="491"/>
      <c r="B102" s="493"/>
      <c r="C102" s="527">
        <v>2014</v>
      </c>
      <c r="D102" s="528"/>
      <c r="E102" s="528"/>
      <c r="F102" s="529"/>
      <c r="G102" s="530">
        <v>1.1499999999999999</v>
      </c>
      <c r="H102" s="531"/>
      <c r="I102" s="531"/>
      <c r="J102" s="531"/>
      <c r="K102" s="531"/>
      <c r="L102" s="531"/>
      <c r="M102" s="531"/>
      <c r="N102" s="531"/>
      <c r="O102" s="531"/>
      <c r="P102" s="531"/>
      <c r="Q102" s="531"/>
      <c r="R102" s="532"/>
      <c r="S102" s="453"/>
      <c r="T102" s="491"/>
      <c r="U102" s="492"/>
      <c r="V102" s="492"/>
      <c r="W102" s="492"/>
      <c r="X102" s="492"/>
      <c r="Y102" s="492"/>
      <c r="Z102" s="492"/>
      <c r="AA102" s="492"/>
      <c r="AB102" s="492"/>
      <c r="AC102" s="492"/>
      <c r="AD102" s="492"/>
      <c r="AE102" s="493"/>
      <c r="AF102" s="117">
        <f t="shared" si="0"/>
        <v>2014</v>
      </c>
      <c r="AG102" s="321">
        <f t="shared" si="1"/>
        <v>1.1499999999999999</v>
      </c>
    </row>
    <row r="103" spans="1:33" ht="15.75" customHeight="1">
      <c r="A103" s="491"/>
      <c r="B103" s="493"/>
      <c r="C103" s="527">
        <v>2015</v>
      </c>
      <c r="D103" s="528"/>
      <c r="E103" s="528"/>
      <c r="F103" s="529"/>
      <c r="G103" s="530">
        <v>1.1399999999999999</v>
      </c>
      <c r="H103" s="531"/>
      <c r="I103" s="531"/>
      <c r="J103" s="531"/>
      <c r="K103" s="531"/>
      <c r="L103" s="531"/>
      <c r="M103" s="531"/>
      <c r="N103" s="531"/>
      <c r="O103" s="531"/>
      <c r="P103" s="531"/>
      <c r="Q103" s="531"/>
      <c r="R103" s="532"/>
      <c r="S103" s="453"/>
      <c r="T103" s="491"/>
      <c r="U103" s="492"/>
      <c r="V103" s="492"/>
      <c r="W103" s="492"/>
      <c r="X103" s="492"/>
      <c r="Y103" s="492"/>
      <c r="Z103" s="492"/>
      <c r="AA103" s="492"/>
      <c r="AB103" s="492"/>
      <c r="AC103" s="492"/>
      <c r="AD103" s="492"/>
      <c r="AE103" s="493"/>
      <c r="AF103" s="117">
        <f t="shared" si="0"/>
        <v>2015</v>
      </c>
      <c r="AG103" s="321">
        <f t="shared" si="1"/>
        <v>1.1399999999999999</v>
      </c>
    </row>
    <row r="104" spans="1:33" ht="15.75" customHeight="1">
      <c r="A104" s="491"/>
      <c r="B104" s="493"/>
      <c r="C104" s="527">
        <v>2016</v>
      </c>
      <c r="D104" s="528"/>
      <c r="E104" s="528"/>
      <c r="F104" s="529"/>
      <c r="G104" s="530">
        <v>1.1200000000000001</v>
      </c>
      <c r="H104" s="531"/>
      <c r="I104" s="531"/>
      <c r="J104" s="531"/>
      <c r="K104" s="531"/>
      <c r="L104" s="531"/>
      <c r="M104" s="531"/>
      <c r="N104" s="531"/>
      <c r="O104" s="531"/>
      <c r="P104" s="531"/>
      <c r="Q104" s="531"/>
      <c r="R104" s="532"/>
      <c r="S104" s="453"/>
      <c r="T104" s="491"/>
      <c r="U104" s="492"/>
      <c r="V104" s="492"/>
      <c r="W104" s="492"/>
      <c r="X104" s="492"/>
      <c r="Y104" s="492"/>
      <c r="Z104" s="492"/>
      <c r="AA104" s="492"/>
      <c r="AB104" s="492"/>
      <c r="AC104" s="492"/>
      <c r="AD104" s="492"/>
      <c r="AE104" s="493"/>
      <c r="AF104" s="117">
        <f t="shared" si="0"/>
        <v>2016</v>
      </c>
      <c r="AG104" s="321">
        <f t="shared" si="1"/>
        <v>1.1200000000000001</v>
      </c>
    </row>
    <row r="105" spans="1:33" ht="15.75" customHeight="1">
      <c r="A105" s="491"/>
      <c r="B105" s="493"/>
      <c r="C105" s="527">
        <v>2017</v>
      </c>
      <c r="D105" s="528"/>
      <c r="E105" s="528"/>
      <c r="F105" s="529"/>
      <c r="G105" s="530">
        <v>1.1000000000000001</v>
      </c>
      <c r="H105" s="531"/>
      <c r="I105" s="531"/>
      <c r="J105" s="531"/>
      <c r="K105" s="531"/>
      <c r="L105" s="531"/>
      <c r="M105" s="531"/>
      <c r="N105" s="531"/>
      <c r="O105" s="531"/>
      <c r="P105" s="531"/>
      <c r="Q105" s="531"/>
      <c r="R105" s="532"/>
      <c r="S105" s="453"/>
      <c r="T105" s="491"/>
      <c r="U105" s="492"/>
      <c r="V105" s="492"/>
      <c r="W105" s="492"/>
      <c r="X105" s="492"/>
      <c r="Y105" s="492"/>
      <c r="Z105" s="492"/>
      <c r="AA105" s="492"/>
      <c r="AB105" s="492"/>
      <c r="AC105" s="492"/>
      <c r="AD105" s="492"/>
      <c r="AE105" s="493"/>
      <c r="AF105" s="117">
        <f t="shared" si="0"/>
        <v>2017</v>
      </c>
      <c r="AG105" s="321">
        <f t="shared" si="1"/>
        <v>1.1000000000000001</v>
      </c>
    </row>
    <row r="106" spans="1:33" ht="15.75" customHeight="1">
      <c r="A106" s="491"/>
      <c r="B106" s="493"/>
      <c r="C106" s="527">
        <v>2018</v>
      </c>
      <c r="D106" s="528"/>
      <c r="E106" s="528"/>
      <c r="F106" s="529"/>
      <c r="G106" s="530">
        <v>1.08</v>
      </c>
      <c r="H106" s="531"/>
      <c r="I106" s="531"/>
      <c r="J106" s="531"/>
      <c r="K106" s="531"/>
      <c r="L106" s="531"/>
      <c r="M106" s="531"/>
      <c r="N106" s="531"/>
      <c r="O106" s="531"/>
      <c r="P106" s="531"/>
      <c r="Q106" s="531"/>
      <c r="R106" s="532"/>
      <c r="S106" s="453"/>
      <c r="T106" s="491"/>
      <c r="U106" s="492"/>
      <c r="V106" s="492"/>
      <c r="W106" s="492"/>
      <c r="X106" s="492"/>
      <c r="Y106" s="492"/>
      <c r="Z106" s="492"/>
      <c r="AA106" s="492"/>
      <c r="AB106" s="492"/>
      <c r="AC106" s="492"/>
      <c r="AD106" s="492"/>
      <c r="AE106" s="493"/>
      <c r="AF106" s="117">
        <f t="shared" si="0"/>
        <v>2018</v>
      </c>
      <c r="AG106" s="321">
        <f t="shared" si="1"/>
        <v>1.08</v>
      </c>
    </row>
    <row r="107" spans="1:33" ht="15.75" customHeight="1">
      <c r="A107" s="491"/>
      <c r="B107" s="493"/>
      <c r="C107" s="527">
        <v>2019</v>
      </c>
      <c r="D107" s="528"/>
      <c r="E107" s="528"/>
      <c r="F107" s="529"/>
      <c r="G107" s="530">
        <v>1.06</v>
      </c>
      <c r="H107" s="531"/>
      <c r="I107" s="531"/>
      <c r="J107" s="531"/>
      <c r="K107" s="531"/>
      <c r="L107" s="531"/>
      <c r="M107" s="531"/>
      <c r="N107" s="531"/>
      <c r="O107" s="531"/>
      <c r="P107" s="531"/>
      <c r="Q107" s="531"/>
      <c r="R107" s="532"/>
      <c r="S107" s="453"/>
      <c r="T107" s="491"/>
      <c r="U107" s="492"/>
      <c r="V107" s="492"/>
      <c r="W107" s="492"/>
      <c r="X107" s="492"/>
      <c r="Y107" s="492"/>
      <c r="Z107" s="492"/>
      <c r="AA107" s="492"/>
      <c r="AB107" s="492"/>
      <c r="AC107" s="492"/>
      <c r="AD107" s="492"/>
      <c r="AE107" s="493"/>
      <c r="AF107" s="117">
        <f t="shared" si="0"/>
        <v>2019</v>
      </c>
      <c r="AG107" s="321">
        <f t="shared" si="1"/>
        <v>1.06</v>
      </c>
    </row>
    <row r="108" spans="1:33" ht="15.75" customHeight="1">
      <c r="A108" s="491"/>
      <c r="B108" s="493"/>
      <c r="C108" s="527">
        <v>2020</v>
      </c>
      <c r="D108" s="528"/>
      <c r="E108" s="528"/>
      <c r="F108" s="529"/>
      <c r="G108" s="530">
        <v>1.04</v>
      </c>
      <c r="H108" s="531"/>
      <c r="I108" s="531"/>
      <c r="J108" s="531"/>
      <c r="K108" s="531"/>
      <c r="L108" s="531"/>
      <c r="M108" s="531"/>
      <c r="N108" s="531"/>
      <c r="O108" s="531"/>
      <c r="P108" s="531"/>
      <c r="Q108" s="531"/>
      <c r="R108" s="532"/>
      <c r="S108" s="453"/>
      <c r="T108" s="491"/>
      <c r="U108" s="492"/>
      <c r="V108" s="492"/>
      <c r="W108" s="492"/>
      <c r="X108" s="492"/>
      <c r="Y108" s="492"/>
      <c r="Z108" s="492"/>
      <c r="AA108" s="492"/>
      <c r="AB108" s="492"/>
      <c r="AC108" s="492"/>
      <c r="AD108" s="492"/>
      <c r="AE108" s="493"/>
      <c r="AF108" s="117">
        <f t="shared" si="0"/>
        <v>2020</v>
      </c>
      <c r="AG108" s="321">
        <f t="shared" si="1"/>
        <v>1.04</v>
      </c>
    </row>
    <row r="109" spans="1:33" ht="15.75" customHeight="1">
      <c r="A109" s="491"/>
      <c r="B109" s="493"/>
      <c r="C109" s="527">
        <v>2021</v>
      </c>
      <c r="D109" s="528"/>
      <c r="E109" s="528"/>
      <c r="F109" s="529"/>
      <c r="G109" s="530">
        <v>1</v>
      </c>
      <c r="H109" s="531"/>
      <c r="I109" s="531"/>
      <c r="J109" s="531"/>
      <c r="K109" s="531"/>
      <c r="L109" s="531"/>
      <c r="M109" s="531"/>
      <c r="N109" s="531"/>
      <c r="O109" s="531"/>
      <c r="P109" s="531"/>
      <c r="Q109" s="531"/>
      <c r="R109" s="532"/>
      <c r="S109" s="453"/>
      <c r="T109" s="491"/>
      <c r="U109" s="492"/>
      <c r="V109" s="492"/>
      <c r="W109" s="492"/>
      <c r="X109" s="492"/>
      <c r="Y109" s="492"/>
      <c r="Z109" s="492"/>
      <c r="AA109" s="492"/>
      <c r="AB109" s="492"/>
      <c r="AC109" s="492"/>
      <c r="AD109" s="492"/>
      <c r="AE109" s="493"/>
      <c r="AF109" s="117">
        <f t="shared" si="0"/>
        <v>2021</v>
      </c>
      <c r="AG109" s="321">
        <f t="shared" si="1"/>
        <v>1</v>
      </c>
    </row>
    <row r="110" spans="1:33" ht="26.25" customHeight="1">
      <c r="A110" s="533"/>
      <c r="B110" s="534"/>
      <c r="C110" s="534"/>
      <c r="D110" s="534"/>
      <c r="E110" s="534"/>
      <c r="F110" s="534"/>
      <c r="G110" s="534"/>
      <c r="H110" s="534"/>
      <c r="I110" s="534"/>
      <c r="J110" s="534"/>
      <c r="K110" s="534"/>
      <c r="L110" s="534"/>
      <c r="M110" s="534"/>
      <c r="N110" s="534"/>
      <c r="O110" s="534"/>
      <c r="P110" s="534"/>
      <c r="Q110" s="534"/>
      <c r="R110" s="534"/>
      <c r="S110" s="535"/>
      <c r="T110" s="464"/>
      <c r="U110" s="465"/>
      <c r="V110" s="465"/>
      <c r="W110" s="465"/>
      <c r="X110" s="465"/>
      <c r="Y110" s="465"/>
      <c r="Z110" s="465"/>
      <c r="AA110" s="465"/>
      <c r="AB110" s="465"/>
      <c r="AC110" s="465"/>
      <c r="AD110" s="465"/>
      <c r="AE110" s="466"/>
    </row>
    <row r="111" spans="1:33" ht="16.5" customHeight="1">
      <c r="A111" s="446" t="s">
        <v>411</v>
      </c>
      <c r="B111" s="447"/>
      <c r="C111" s="447"/>
      <c r="D111" s="447"/>
      <c r="E111" s="447"/>
      <c r="F111" s="447"/>
      <c r="G111" s="447"/>
      <c r="H111" s="447"/>
      <c r="I111" s="447"/>
      <c r="J111" s="447"/>
      <c r="K111" s="447"/>
      <c r="L111" s="447"/>
      <c r="M111" s="447"/>
      <c r="N111" s="447"/>
      <c r="O111" s="447"/>
      <c r="P111" s="447"/>
      <c r="Q111" s="447"/>
      <c r="R111" s="447"/>
      <c r="S111" s="447"/>
      <c r="T111" s="447"/>
      <c r="U111" s="447"/>
      <c r="V111" s="447"/>
      <c r="W111" s="448"/>
      <c r="X111" s="446" t="s">
        <v>412</v>
      </c>
      <c r="Y111" s="447"/>
      <c r="Z111" s="447"/>
      <c r="AA111" s="447"/>
      <c r="AB111" s="447"/>
      <c r="AC111" s="447"/>
      <c r="AD111" s="447"/>
      <c r="AE111" s="448"/>
    </row>
    <row r="112" spans="1:33" ht="12.95" customHeight="1">
      <c r="A112" s="467"/>
      <c r="B112" s="468"/>
      <c r="C112" s="468"/>
      <c r="D112" s="468"/>
      <c r="E112" s="468"/>
      <c r="F112" s="468"/>
      <c r="G112" s="468"/>
      <c r="H112" s="468"/>
      <c r="I112" s="468"/>
      <c r="J112" s="468"/>
      <c r="K112" s="468"/>
      <c r="L112" s="468"/>
      <c r="M112" s="468"/>
      <c r="N112" s="468"/>
      <c r="O112" s="468"/>
      <c r="P112" s="468"/>
      <c r="Q112" s="468"/>
      <c r="R112" s="468"/>
      <c r="S112" s="468"/>
      <c r="T112" s="468"/>
      <c r="U112" s="468"/>
      <c r="V112" s="468"/>
      <c r="W112" s="469"/>
      <c r="X112" s="488" t="s">
        <v>473</v>
      </c>
      <c r="Y112" s="489"/>
      <c r="Z112" s="489"/>
      <c r="AA112" s="489"/>
      <c r="AB112" s="489"/>
      <c r="AC112" s="489"/>
      <c r="AD112" s="489"/>
      <c r="AE112" s="490"/>
    </row>
    <row r="113" spans="1:32" ht="38.1" customHeight="1">
      <c r="A113" s="453"/>
      <c r="B113" s="494" t="s">
        <v>474</v>
      </c>
      <c r="C113" s="502"/>
      <c r="D113" s="502"/>
      <c r="E113" s="502"/>
      <c r="F113" s="502"/>
      <c r="G113" s="502"/>
      <c r="H113" s="502"/>
      <c r="I113" s="502"/>
      <c r="J113" s="495"/>
      <c r="K113" s="499" t="s">
        <v>475</v>
      </c>
      <c r="L113" s="500"/>
      <c r="M113" s="500"/>
      <c r="N113" s="500"/>
      <c r="O113" s="500"/>
      <c r="P113" s="500"/>
      <c r="Q113" s="500"/>
      <c r="R113" s="500"/>
      <c r="S113" s="500"/>
      <c r="T113" s="500"/>
      <c r="U113" s="501"/>
      <c r="V113" s="491"/>
      <c r="W113" s="493"/>
      <c r="X113" s="491"/>
      <c r="Y113" s="492"/>
      <c r="Z113" s="492"/>
      <c r="AA113" s="492"/>
      <c r="AB113" s="492"/>
      <c r="AC113" s="492"/>
      <c r="AD113" s="492"/>
      <c r="AE113" s="493"/>
    </row>
    <row r="114" spans="1:32" ht="26.1" customHeight="1">
      <c r="A114" s="453"/>
      <c r="B114" s="434" t="s">
        <v>476</v>
      </c>
      <c r="C114" s="435"/>
      <c r="D114" s="435"/>
      <c r="E114" s="435"/>
      <c r="F114" s="435"/>
      <c r="G114" s="435"/>
      <c r="H114" s="435"/>
      <c r="I114" s="435"/>
      <c r="J114" s="436"/>
      <c r="K114" s="437">
        <v>0.11</v>
      </c>
      <c r="L114" s="438"/>
      <c r="M114" s="438"/>
      <c r="N114" s="438"/>
      <c r="O114" s="438"/>
      <c r="P114" s="438"/>
      <c r="Q114" s="438"/>
      <c r="R114" s="438"/>
      <c r="S114" s="438"/>
      <c r="T114" s="438"/>
      <c r="U114" s="439"/>
      <c r="V114" s="491"/>
      <c r="W114" s="493"/>
      <c r="X114" s="491"/>
      <c r="Y114" s="492"/>
      <c r="Z114" s="492"/>
      <c r="AA114" s="492"/>
      <c r="AB114" s="492"/>
      <c r="AC114" s="492"/>
      <c r="AD114" s="492"/>
      <c r="AE114" s="493"/>
      <c r="AF114" s="245">
        <f>K114</f>
        <v>0.11</v>
      </c>
    </row>
    <row r="115" spans="1:32" ht="15.75" customHeight="1">
      <c r="A115" s="453"/>
      <c r="B115" s="434" t="s">
        <v>477</v>
      </c>
      <c r="C115" s="435"/>
      <c r="D115" s="435"/>
      <c r="E115" s="435"/>
      <c r="F115" s="435"/>
      <c r="G115" s="435"/>
      <c r="H115" s="435"/>
      <c r="I115" s="435"/>
      <c r="J115" s="436"/>
      <c r="K115" s="437">
        <v>1.05</v>
      </c>
      <c r="L115" s="438"/>
      <c r="M115" s="438"/>
      <c r="N115" s="438"/>
      <c r="O115" s="438"/>
      <c r="P115" s="438"/>
      <c r="Q115" s="438"/>
      <c r="R115" s="438"/>
      <c r="S115" s="438"/>
      <c r="T115" s="438"/>
      <c r="U115" s="439"/>
      <c r="V115" s="491"/>
      <c r="W115" s="493"/>
      <c r="X115" s="491"/>
      <c r="Y115" s="492"/>
      <c r="Z115" s="492"/>
      <c r="AA115" s="492"/>
      <c r="AB115" s="492"/>
      <c r="AC115" s="492"/>
      <c r="AD115" s="492"/>
      <c r="AE115" s="493"/>
      <c r="AF115" s="245">
        <f>K115</f>
        <v>1.05</v>
      </c>
    </row>
    <row r="116" spans="1:32" ht="26.1" customHeight="1">
      <c r="A116" s="453"/>
      <c r="B116" s="434" t="s">
        <v>478</v>
      </c>
      <c r="C116" s="435"/>
      <c r="D116" s="435"/>
      <c r="E116" s="435"/>
      <c r="F116" s="435"/>
      <c r="G116" s="435"/>
      <c r="H116" s="435"/>
      <c r="I116" s="435"/>
      <c r="J116" s="436"/>
      <c r="K116" s="437">
        <v>0.09</v>
      </c>
      <c r="L116" s="438"/>
      <c r="M116" s="438"/>
      <c r="N116" s="438"/>
      <c r="O116" s="438"/>
      <c r="P116" s="438"/>
      <c r="Q116" s="438"/>
      <c r="R116" s="438"/>
      <c r="S116" s="438"/>
      <c r="T116" s="438"/>
      <c r="U116" s="439"/>
      <c r="V116" s="491"/>
      <c r="W116" s="493"/>
      <c r="X116" s="491"/>
      <c r="Y116" s="492"/>
      <c r="Z116" s="492"/>
      <c r="AA116" s="492"/>
      <c r="AB116" s="492"/>
      <c r="AC116" s="492"/>
      <c r="AD116" s="492"/>
      <c r="AE116" s="493"/>
      <c r="AF116" s="245">
        <f>K116</f>
        <v>0.09</v>
      </c>
    </row>
    <row r="117" spans="1:32" ht="39" customHeight="1">
      <c r="A117" s="453"/>
      <c r="B117" s="485" t="s">
        <v>479</v>
      </c>
      <c r="C117" s="486"/>
      <c r="D117" s="486"/>
      <c r="E117" s="486"/>
      <c r="F117" s="486"/>
      <c r="G117" s="486"/>
      <c r="H117" s="486"/>
      <c r="I117" s="486"/>
      <c r="J117" s="487"/>
      <c r="K117" s="521">
        <v>8.9999999999999998E-4</v>
      </c>
      <c r="L117" s="522"/>
      <c r="M117" s="522"/>
      <c r="N117" s="522"/>
      <c r="O117" s="522"/>
      <c r="P117" s="522"/>
      <c r="Q117" s="522"/>
      <c r="R117" s="522"/>
      <c r="S117" s="522"/>
      <c r="T117" s="522"/>
      <c r="U117" s="523"/>
      <c r="V117" s="491"/>
      <c r="W117" s="493"/>
      <c r="X117" s="491"/>
      <c r="Y117" s="492"/>
      <c r="Z117" s="492"/>
      <c r="AA117" s="492"/>
      <c r="AB117" s="492"/>
      <c r="AC117" s="492"/>
      <c r="AD117" s="492"/>
      <c r="AE117" s="493"/>
      <c r="AF117" s="245">
        <f>K117</f>
        <v>8.9999999999999998E-4</v>
      </c>
    </row>
    <row r="118" spans="1:32" ht="12.95" customHeight="1">
      <c r="A118" s="453"/>
      <c r="B118" s="449"/>
      <c r="C118" s="450"/>
      <c r="D118" s="450"/>
      <c r="E118" s="450"/>
      <c r="F118" s="450"/>
      <c r="G118" s="450"/>
      <c r="H118" s="450"/>
      <c r="I118" s="450"/>
      <c r="J118" s="451"/>
      <c r="K118" s="449"/>
      <c r="L118" s="450"/>
      <c r="M118" s="450"/>
      <c r="N118" s="450"/>
      <c r="O118" s="450"/>
      <c r="P118" s="450"/>
      <c r="Q118" s="450"/>
      <c r="R118" s="450"/>
      <c r="S118" s="450"/>
      <c r="T118" s="450"/>
      <c r="U118" s="451"/>
      <c r="V118" s="491"/>
      <c r="W118" s="493"/>
      <c r="X118" s="491"/>
      <c r="Y118" s="492"/>
      <c r="Z118" s="492"/>
      <c r="AA118" s="492"/>
      <c r="AB118" s="492"/>
      <c r="AC118" s="492"/>
      <c r="AD118" s="492"/>
      <c r="AE118" s="493"/>
    </row>
    <row r="119" spans="1:32" ht="31.5" customHeight="1">
      <c r="A119" s="453"/>
      <c r="B119" s="524" t="s">
        <v>474</v>
      </c>
      <c r="C119" s="525"/>
      <c r="D119" s="525"/>
      <c r="E119" s="525"/>
      <c r="F119" s="525"/>
      <c r="G119" s="525"/>
      <c r="H119" s="525"/>
      <c r="I119" s="525"/>
      <c r="J119" s="526"/>
      <c r="K119" s="518" t="s">
        <v>480</v>
      </c>
      <c r="L119" s="519"/>
      <c r="M119" s="519"/>
      <c r="N119" s="519"/>
      <c r="O119" s="519"/>
      <c r="P119" s="519"/>
      <c r="Q119" s="519"/>
      <c r="R119" s="519"/>
      <c r="S119" s="519"/>
      <c r="T119" s="519"/>
      <c r="U119" s="520"/>
      <c r="V119" s="491"/>
      <c r="W119" s="493"/>
      <c r="X119" s="491"/>
      <c r="Y119" s="492"/>
      <c r="Z119" s="492"/>
      <c r="AA119" s="492"/>
      <c r="AB119" s="492"/>
      <c r="AC119" s="492"/>
      <c r="AD119" s="492"/>
      <c r="AE119" s="493"/>
    </row>
    <row r="120" spans="1:32" ht="38.1" customHeight="1">
      <c r="A120" s="453"/>
      <c r="B120" s="485" t="s">
        <v>481</v>
      </c>
      <c r="C120" s="486"/>
      <c r="D120" s="486"/>
      <c r="E120" s="486"/>
      <c r="F120" s="486"/>
      <c r="G120" s="486"/>
      <c r="H120" s="486"/>
      <c r="I120" s="486"/>
      <c r="J120" s="487"/>
      <c r="K120" s="521">
        <v>0.18</v>
      </c>
      <c r="L120" s="522"/>
      <c r="M120" s="522"/>
      <c r="N120" s="522"/>
      <c r="O120" s="522"/>
      <c r="P120" s="522"/>
      <c r="Q120" s="522"/>
      <c r="R120" s="522"/>
      <c r="S120" s="522"/>
      <c r="T120" s="522"/>
      <c r="U120" s="523"/>
      <c r="V120" s="491"/>
      <c r="W120" s="493"/>
      <c r="X120" s="491"/>
      <c r="Y120" s="492"/>
      <c r="Z120" s="492"/>
      <c r="AA120" s="492"/>
      <c r="AB120" s="492"/>
      <c r="AC120" s="492"/>
      <c r="AD120" s="492"/>
      <c r="AE120" s="493"/>
      <c r="AF120" s="245">
        <f>K120</f>
        <v>0.18</v>
      </c>
    </row>
    <row r="121" spans="1:32" ht="51" customHeight="1">
      <c r="A121" s="453"/>
      <c r="B121" s="485" t="s">
        <v>482</v>
      </c>
      <c r="C121" s="486"/>
      <c r="D121" s="486"/>
      <c r="E121" s="486"/>
      <c r="F121" s="486"/>
      <c r="G121" s="486"/>
      <c r="H121" s="486"/>
      <c r="I121" s="486"/>
      <c r="J121" s="487"/>
      <c r="K121" s="521">
        <v>0.48</v>
      </c>
      <c r="L121" s="522"/>
      <c r="M121" s="522"/>
      <c r="N121" s="522"/>
      <c r="O121" s="522"/>
      <c r="P121" s="522"/>
      <c r="Q121" s="522"/>
      <c r="R121" s="522"/>
      <c r="S121" s="522"/>
      <c r="T121" s="522"/>
      <c r="U121" s="523"/>
      <c r="V121" s="491"/>
      <c r="W121" s="493"/>
      <c r="X121" s="491"/>
      <c r="Y121" s="492"/>
      <c r="Z121" s="492"/>
      <c r="AA121" s="492"/>
      <c r="AB121" s="492"/>
      <c r="AC121" s="492"/>
      <c r="AD121" s="492"/>
      <c r="AE121" s="493"/>
      <c r="AF121" s="245">
        <f>K121</f>
        <v>0.48</v>
      </c>
    </row>
    <row r="122" spans="1:32" ht="215.85" customHeight="1">
      <c r="A122" s="464" t="s">
        <v>483</v>
      </c>
      <c r="B122" s="465"/>
      <c r="C122" s="465"/>
      <c r="D122" s="465"/>
      <c r="E122" s="465"/>
      <c r="F122" s="465"/>
      <c r="G122" s="465"/>
      <c r="H122" s="465"/>
      <c r="I122" s="465"/>
      <c r="J122" s="465"/>
      <c r="K122" s="465"/>
      <c r="L122" s="465"/>
      <c r="M122" s="465"/>
      <c r="N122" s="465"/>
      <c r="O122" s="465"/>
      <c r="P122" s="465"/>
      <c r="Q122" s="465"/>
      <c r="R122" s="465"/>
      <c r="S122" s="465"/>
      <c r="T122" s="465"/>
      <c r="U122" s="465"/>
      <c r="V122" s="465"/>
      <c r="W122" s="466"/>
      <c r="X122" s="464"/>
      <c r="Y122" s="465"/>
      <c r="Z122" s="465"/>
      <c r="AA122" s="465"/>
      <c r="AB122" s="465"/>
      <c r="AC122" s="465"/>
      <c r="AD122" s="465"/>
      <c r="AE122" s="466"/>
      <c r="AF122" s="24">
        <v>3.2</v>
      </c>
    </row>
    <row r="123" spans="1:32" ht="16.5" customHeight="1">
      <c r="A123" s="446" t="s">
        <v>411</v>
      </c>
      <c r="B123" s="447"/>
      <c r="C123" s="447"/>
      <c r="D123" s="447"/>
      <c r="E123" s="447"/>
      <c r="F123" s="447"/>
      <c r="G123" s="447"/>
      <c r="H123" s="447"/>
      <c r="I123" s="447"/>
      <c r="J123" s="447"/>
      <c r="K123" s="447"/>
      <c r="L123" s="447"/>
      <c r="M123" s="447"/>
      <c r="N123" s="447"/>
      <c r="O123" s="447"/>
      <c r="P123" s="447"/>
      <c r="Q123" s="447"/>
      <c r="R123" s="447"/>
      <c r="S123" s="447"/>
      <c r="T123" s="447"/>
      <c r="U123" s="447"/>
      <c r="V123" s="447"/>
      <c r="W123" s="448"/>
      <c r="X123" s="446" t="s">
        <v>412</v>
      </c>
      <c r="Y123" s="447"/>
      <c r="Z123" s="447"/>
      <c r="AA123" s="447"/>
      <c r="AB123" s="447"/>
      <c r="AC123" s="447"/>
      <c r="AD123" s="447"/>
      <c r="AE123" s="448"/>
    </row>
    <row r="124" spans="1:32" ht="12.95" customHeight="1">
      <c r="A124" s="467"/>
      <c r="B124" s="468"/>
      <c r="C124" s="468"/>
      <c r="D124" s="468"/>
      <c r="E124" s="468"/>
      <c r="F124" s="468"/>
      <c r="G124" s="468"/>
      <c r="H124" s="468"/>
      <c r="I124" s="468"/>
      <c r="J124" s="468"/>
      <c r="K124" s="468"/>
      <c r="L124" s="468"/>
      <c r="M124" s="468"/>
      <c r="N124" s="468"/>
      <c r="O124" s="468"/>
      <c r="P124" s="468"/>
      <c r="Q124" s="468"/>
      <c r="R124" s="468"/>
      <c r="S124" s="468"/>
      <c r="T124" s="468"/>
      <c r="U124" s="468"/>
      <c r="V124" s="468"/>
      <c r="W124" s="469"/>
      <c r="X124" s="488" t="s">
        <v>484</v>
      </c>
      <c r="Y124" s="489"/>
      <c r="Z124" s="489"/>
      <c r="AA124" s="489"/>
      <c r="AB124" s="489"/>
      <c r="AC124" s="489"/>
      <c r="AD124" s="489"/>
      <c r="AE124" s="490"/>
    </row>
    <row r="125" spans="1:32" ht="26.1" customHeight="1">
      <c r="A125" s="453"/>
      <c r="B125" s="494" t="s">
        <v>485</v>
      </c>
      <c r="C125" s="502"/>
      <c r="D125" s="502"/>
      <c r="E125" s="502"/>
      <c r="F125" s="502"/>
      <c r="G125" s="502"/>
      <c r="H125" s="495"/>
      <c r="I125" s="499" t="s">
        <v>486</v>
      </c>
      <c r="J125" s="500"/>
      <c r="K125" s="500"/>
      <c r="L125" s="500"/>
      <c r="M125" s="500"/>
      <c r="N125" s="500"/>
      <c r="O125" s="500"/>
      <c r="P125" s="500"/>
      <c r="Q125" s="500"/>
      <c r="R125" s="500"/>
      <c r="S125" s="500"/>
      <c r="T125" s="500"/>
      <c r="U125" s="501"/>
      <c r="V125" s="491"/>
      <c r="W125" s="493"/>
      <c r="X125" s="491"/>
      <c r="Y125" s="492"/>
      <c r="Z125" s="492"/>
      <c r="AA125" s="492"/>
      <c r="AB125" s="492"/>
      <c r="AC125" s="492"/>
      <c r="AD125" s="492"/>
      <c r="AE125" s="493"/>
    </row>
    <row r="126" spans="1:32" ht="26.1" customHeight="1">
      <c r="A126" s="453"/>
      <c r="B126" s="434" t="s">
        <v>487</v>
      </c>
      <c r="C126" s="435"/>
      <c r="D126" s="435"/>
      <c r="E126" s="435"/>
      <c r="F126" s="435"/>
      <c r="G126" s="435"/>
      <c r="H126" s="436"/>
      <c r="I126" s="437">
        <v>1.49</v>
      </c>
      <c r="J126" s="438"/>
      <c r="K126" s="438"/>
      <c r="L126" s="438"/>
      <c r="M126" s="438"/>
      <c r="N126" s="438"/>
      <c r="O126" s="438"/>
      <c r="P126" s="438"/>
      <c r="Q126" s="438"/>
      <c r="R126" s="438"/>
      <c r="S126" s="438"/>
      <c r="T126" s="438"/>
      <c r="U126" s="439"/>
      <c r="V126" s="491"/>
      <c r="W126" s="493"/>
      <c r="X126" s="491"/>
      <c r="Y126" s="492"/>
      <c r="Z126" s="492"/>
      <c r="AA126" s="492"/>
      <c r="AB126" s="492"/>
      <c r="AC126" s="492"/>
      <c r="AD126" s="492"/>
      <c r="AE126" s="493"/>
    </row>
    <row r="127" spans="1:32" ht="31.5" customHeight="1">
      <c r="A127" s="453"/>
      <c r="B127" s="485" t="s">
        <v>488</v>
      </c>
      <c r="C127" s="486"/>
      <c r="D127" s="486"/>
      <c r="E127" s="486"/>
      <c r="F127" s="486"/>
      <c r="G127" s="486"/>
      <c r="H127" s="487"/>
      <c r="I127" s="437">
        <v>1.87</v>
      </c>
      <c r="J127" s="438"/>
      <c r="K127" s="438"/>
      <c r="L127" s="438"/>
      <c r="M127" s="438"/>
      <c r="N127" s="438"/>
      <c r="O127" s="438"/>
      <c r="P127" s="438"/>
      <c r="Q127" s="438"/>
      <c r="R127" s="438"/>
      <c r="S127" s="438"/>
      <c r="T127" s="438"/>
      <c r="U127" s="439"/>
      <c r="V127" s="491"/>
      <c r="W127" s="493"/>
      <c r="X127" s="491"/>
      <c r="Y127" s="492"/>
      <c r="Z127" s="492"/>
      <c r="AA127" s="492"/>
      <c r="AB127" s="492"/>
      <c r="AC127" s="492"/>
      <c r="AD127" s="492"/>
      <c r="AE127" s="493"/>
    </row>
    <row r="128" spans="1:32" ht="15.75" customHeight="1">
      <c r="A128" s="453"/>
      <c r="B128" s="434" t="s">
        <v>489</v>
      </c>
      <c r="C128" s="435"/>
      <c r="D128" s="435"/>
      <c r="E128" s="435"/>
      <c r="F128" s="435"/>
      <c r="G128" s="435"/>
      <c r="H128" s="436"/>
      <c r="I128" s="437">
        <v>1.77</v>
      </c>
      <c r="J128" s="438"/>
      <c r="K128" s="438"/>
      <c r="L128" s="438"/>
      <c r="M128" s="438"/>
      <c r="N128" s="438"/>
      <c r="O128" s="438"/>
      <c r="P128" s="438"/>
      <c r="Q128" s="438"/>
      <c r="R128" s="438"/>
      <c r="S128" s="438"/>
      <c r="T128" s="438"/>
      <c r="U128" s="439"/>
      <c r="V128" s="491"/>
      <c r="W128" s="493"/>
      <c r="X128" s="491"/>
      <c r="Y128" s="492"/>
      <c r="Z128" s="492"/>
      <c r="AA128" s="492"/>
      <c r="AB128" s="492"/>
      <c r="AC128" s="492"/>
      <c r="AD128" s="492"/>
      <c r="AE128" s="493"/>
    </row>
    <row r="129" spans="1:31" ht="31.5" customHeight="1">
      <c r="A129" s="453"/>
      <c r="B129" s="485" t="s">
        <v>490</v>
      </c>
      <c r="C129" s="486"/>
      <c r="D129" s="486"/>
      <c r="E129" s="486"/>
      <c r="F129" s="486"/>
      <c r="G129" s="486"/>
      <c r="H129" s="487"/>
      <c r="I129" s="437">
        <v>0.28000000000000003</v>
      </c>
      <c r="J129" s="438"/>
      <c r="K129" s="438"/>
      <c r="L129" s="438"/>
      <c r="M129" s="438"/>
      <c r="N129" s="438"/>
      <c r="O129" s="438"/>
      <c r="P129" s="438"/>
      <c r="Q129" s="438"/>
      <c r="R129" s="438"/>
      <c r="S129" s="438"/>
      <c r="T129" s="438"/>
      <c r="U129" s="439"/>
      <c r="V129" s="491"/>
      <c r="W129" s="493"/>
      <c r="X129" s="491"/>
      <c r="Y129" s="492"/>
      <c r="Z129" s="492"/>
      <c r="AA129" s="492"/>
      <c r="AB129" s="492"/>
      <c r="AC129" s="492"/>
      <c r="AD129" s="492"/>
      <c r="AE129" s="493"/>
    </row>
    <row r="130" spans="1:31" ht="15.75" customHeight="1">
      <c r="A130" s="453"/>
      <c r="B130" s="434" t="s">
        <v>491</v>
      </c>
      <c r="C130" s="435"/>
      <c r="D130" s="435"/>
      <c r="E130" s="435"/>
      <c r="F130" s="435"/>
      <c r="G130" s="435"/>
      <c r="H130" s="436"/>
      <c r="I130" s="437">
        <v>1.77</v>
      </c>
      <c r="J130" s="438"/>
      <c r="K130" s="438"/>
      <c r="L130" s="438"/>
      <c r="M130" s="438"/>
      <c r="N130" s="438"/>
      <c r="O130" s="438"/>
      <c r="P130" s="438"/>
      <c r="Q130" s="438"/>
      <c r="R130" s="438"/>
      <c r="S130" s="438"/>
      <c r="T130" s="438"/>
      <c r="U130" s="439"/>
      <c r="V130" s="491"/>
      <c r="W130" s="493"/>
      <c r="X130" s="491"/>
      <c r="Y130" s="492"/>
      <c r="Z130" s="492"/>
      <c r="AA130" s="492"/>
      <c r="AB130" s="492"/>
      <c r="AC130" s="492"/>
      <c r="AD130" s="492"/>
      <c r="AE130" s="493"/>
    </row>
    <row r="131" spans="1:31" ht="278.25" customHeight="1">
      <c r="A131" s="464" t="s">
        <v>492</v>
      </c>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6"/>
      <c r="X131" s="464"/>
      <c r="Y131" s="465"/>
      <c r="Z131" s="465"/>
      <c r="AA131" s="465"/>
      <c r="AB131" s="465"/>
      <c r="AC131" s="465"/>
      <c r="AD131" s="465"/>
      <c r="AE131" s="466"/>
    </row>
    <row r="132" spans="1:31" ht="16.5" customHeight="1">
      <c r="A132" s="446" t="s">
        <v>411</v>
      </c>
      <c r="B132" s="447"/>
      <c r="C132" s="447"/>
      <c r="D132" s="447"/>
      <c r="E132" s="447"/>
      <c r="F132" s="447"/>
      <c r="G132" s="447"/>
      <c r="H132" s="447"/>
      <c r="I132" s="447"/>
      <c r="J132" s="447"/>
      <c r="K132" s="447"/>
      <c r="L132" s="447"/>
      <c r="M132" s="447"/>
      <c r="N132" s="447"/>
      <c r="O132" s="447"/>
      <c r="P132" s="447"/>
      <c r="Q132" s="447"/>
      <c r="R132" s="447"/>
      <c r="S132" s="447"/>
      <c r="T132" s="447"/>
      <c r="U132" s="447"/>
      <c r="V132" s="447"/>
      <c r="W132" s="447"/>
      <c r="X132" s="447"/>
      <c r="Y132" s="447"/>
      <c r="Z132" s="447"/>
      <c r="AA132" s="448"/>
      <c r="AB132" s="446" t="s">
        <v>412</v>
      </c>
      <c r="AC132" s="447"/>
      <c r="AD132" s="447"/>
      <c r="AE132" s="448"/>
    </row>
    <row r="133" spans="1:31" ht="12.95" customHeight="1">
      <c r="A133" s="449"/>
      <c r="B133" s="450"/>
      <c r="C133" s="450"/>
      <c r="D133" s="450"/>
      <c r="E133" s="450"/>
      <c r="F133" s="450"/>
      <c r="G133" s="450"/>
      <c r="H133" s="450"/>
      <c r="I133" s="450"/>
      <c r="J133" s="450"/>
      <c r="K133" s="450"/>
      <c r="L133" s="450"/>
      <c r="M133" s="450"/>
      <c r="N133" s="450"/>
      <c r="O133" s="450"/>
      <c r="P133" s="450"/>
      <c r="Q133" s="450"/>
      <c r="R133" s="450"/>
      <c r="S133" s="450"/>
      <c r="T133" s="450"/>
      <c r="U133" s="450"/>
      <c r="V133" s="450"/>
      <c r="W133" s="450"/>
      <c r="X133" s="450"/>
      <c r="Y133" s="450"/>
      <c r="Z133" s="450"/>
      <c r="AA133" s="451"/>
      <c r="AB133" s="488" t="s">
        <v>493</v>
      </c>
      <c r="AC133" s="489"/>
      <c r="AD133" s="489"/>
      <c r="AE133" s="490"/>
    </row>
    <row r="134" spans="1:31" ht="15.75" customHeight="1">
      <c r="A134" s="453"/>
      <c r="B134" s="455" t="s">
        <v>494</v>
      </c>
      <c r="C134" s="456"/>
      <c r="D134" s="456"/>
      <c r="E134" s="457"/>
      <c r="F134" s="499" t="s">
        <v>495</v>
      </c>
      <c r="G134" s="500"/>
      <c r="H134" s="500"/>
      <c r="I134" s="500"/>
      <c r="J134" s="500"/>
      <c r="K134" s="500"/>
      <c r="L134" s="500"/>
      <c r="M134" s="500"/>
      <c r="N134" s="500"/>
      <c r="O134" s="500"/>
      <c r="P134" s="500"/>
      <c r="Q134" s="500"/>
      <c r="R134" s="500"/>
      <c r="S134" s="500"/>
      <c r="T134" s="500"/>
      <c r="U134" s="500"/>
      <c r="V134" s="500"/>
      <c r="W134" s="500"/>
      <c r="X134" s="500"/>
      <c r="Y134" s="500"/>
      <c r="Z134" s="500"/>
      <c r="AA134" s="501"/>
      <c r="AB134" s="453"/>
      <c r="AC134" s="492"/>
      <c r="AD134" s="492"/>
      <c r="AE134" s="493"/>
    </row>
    <row r="135" spans="1:31" ht="26.1" customHeight="1">
      <c r="A135" s="453"/>
      <c r="B135" s="509"/>
      <c r="C135" s="510"/>
      <c r="D135" s="510"/>
      <c r="E135" s="511"/>
      <c r="F135" s="515" t="s">
        <v>496</v>
      </c>
      <c r="G135" s="516"/>
      <c r="H135" s="516"/>
      <c r="I135" s="516"/>
      <c r="J135" s="516"/>
      <c r="K135" s="517"/>
      <c r="L135" s="499" t="s">
        <v>497</v>
      </c>
      <c r="M135" s="500"/>
      <c r="N135" s="500"/>
      <c r="O135" s="500"/>
      <c r="P135" s="500"/>
      <c r="Q135" s="500"/>
      <c r="R135" s="500"/>
      <c r="S135" s="500"/>
      <c r="T135" s="500"/>
      <c r="U135" s="500"/>
      <c r="V135" s="500"/>
      <c r="W135" s="501"/>
      <c r="X135" s="479" t="s">
        <v>498</v>
      </c>
      <c r="Y135" s="480"/>
      <c r="Z135" s="480"/>
      <c r="AA135" s="481"/>
      <c r="AB135" s="453"/>
      <c r="AC135" s="492"/>
      <c r="AD135" s="492"/>
      <c r="AE135" s="493"/>
    </row>
    <row r="136" spans="1:31" ht="15.75" customHeight="1">
      <c r="A136" s="453"/>
      <c r="B136" s="434" t="s">
        <v>499</v>
      </c>
      <c r="C136" s="435"/>
      <c r="D136" s="435"/>
      <c r="E136" s="436"/>
      <c r="F136" s="437">
        <v>0.03</v>
      </c>
      <c r="G136" s="438"/>
      <c r="H136" s="438"/>
      <c r="I136" s="438"/>
      <c r="J136" s="438"/>
      <c r="K136" s="439"/>
      <c r="L136" s="437">
        <v>0.03</v>
      </c>
      <c r="M136" s="438"/>
      <c r="N136" s="438"/>
      <c r="O136" s="438"/>
      <c r="P136" s="438"/>
      <c r="Q136" s="438"/>
      <c r="R136" s="438"/>
      <c r="S136" s="438"/>
      <c r="T136" s="438"/>
      <c r="U136" s="438"/>
      <c r="V136" s="438"/>
      <c r="W136" s="439"/>
      <c r="X136" s="437">
        <v>0.06</v>
      </c>
      <c r="Y136" s="438"/>
      <c r="Z136" s="438"/>
      <c r="AA136" s="439"/>
      <c r="AB136" s="453"/>
      <c r="AC136" s="492"/>
      <c r="AD136" s="492"/>
      <c r="AE136" s="493"/>
    </row>
    <row r="137" spans="1:31" ht="26.1" customHeight="1">
      <c r="A137" s="453"/>
      <c r="B137" s="434" t="s">
        <v>500</v>
      </c>
      <c r="C137" s="435"/>
      <c r="D137" s="435"/>
      <c r="E137" s="436"/>
      <c r="F137" s="437">
        <v>0.31</v>
      </c>
      <c r="G137" s="438"/>
      <c r="H137" s="438"/>
      <c r="I137" s="438"/>
      <c r="J137" s="438"/>
      <c r="K137" s="439"/>
      <c r="L137" s="437">
        <v>0.15</v>
      </c>
      <c r="M137" s="438"/>
      <c r="N137" s="438"/>
      <c r="O137" s="438"/>
      <c r="P137" s="438"/>
      <c r="Q137" s="438"/>
      <c r="R137" s="438"/>
      <c r="S137" s="438"/>
      <c r="T137" s="438"/>
      <c r="U137" s="438"/>
      <c r="V137" s="438"/>
      <c r="W137" s="439"/>
      <c r="X137" s="437">
        <v>0.86</v>
      </c>
      <c r="Y137" s="438"/>
      <c r="Z137" s="438"/>
      <c r="AA137" s="439"/>
      <c r="AB137" s="453"/>
      <c r="AC137" s="492"/>
      <c r="AD137" s="492"/>
      <c r="AE137" s="493"/>
    </row>
    <row r="138" spans="1:31" ht="31.5" customHeight="1">
      <c r="A138" s="453"/>
      <c r="B138" s="485" t="s">
        <v>501</v>
      </c>
      <c r="C138" s="486"/>
      <c r="D138" s="486"/>
      <c r="E138" s="487"/>
      <c r="F138" s="437">
        <v>0.24</v>
      </c>
      <c r="G138" s="438"/>
      <c r="H138" s="438"/>
      <c r="I138" s="438"/>
      <c r="J138" s="438"/>
      <c r="K138" s="439"/>
      <c r="L138" s="437">
        <v>0.24</v>
      </c>
      <c r="M138" s="438"/>
      <c r="N138" s="438"/>
      <c r="O138" s="438"/>
      <c r="P138" s="438"/>
      <c r="Q138" s="438"/>
      <c r="R138" s="438"/>
      <c r="S138" s="438"/>
      <c r="T138" s="438"/>
      <c r="U138" s="438"/>
      <c r="V138" s="438"/>
      <c r="W138" s="439"/>
      <c r="X138" s="437">
        <v>0.11</v>
      </c>
      <c r="Y138" s="438"/>
      <c r="Z138" s="438"/>
      <c r="AA138" s="439"/>
      <c r="AB138" s="453"/>
      <c r="AC138" s="492"/>
      <c r="AD138" s="492"/>
      <c r="AE138" s="493"/>
    </row>
    <row r="139" spans="1:31" ht="15.75" customHeight="1">
      <c r="A139" s="453"/>
      <c r="B139" s="434" t="s">
        <v>502</v>
      </c>
      <c r="C139" s="435"/>
      <c r="D139" s="435"/>
      <c r="E139" s="436"/>
      <c r="F139" s="437">
        <v>0.31</v>
      </c>
      <c r="G139" s="438"/>
      <c r="H139" s="438"/>
      <c r="I139" s="438"/>
      <c r="J139" s="438"/>
      <c r="K139" s="439"/>
      <c r="L139" s="437">
        <v>0.05</v>
      </c>
      <c r="M139" s="438"/>
      <c r="N139" s="438"/>
      <c r="O139" s="438"/>
      <c r="P139" s="438"/>
      <c r="Q139" s="438"/>
      <c r="R139" s="438"/>
      <c r="S139" s="438"/>
      <c r="T139" s="438"/>
      <c r="U139" s="438"/>
      <c r="V139" s="438"/>
      <c r="W139" s="439"/>
      <c r="X139" s="437">
        <v>0.1</v>
      </c>
      <c r="Y139" s="438"/>
      <c r="Z139" s="438"/>
      <c r="AA139" s="439"/>
      <c r="AB139" s="453"/>
      <c r="AC139" s="492"/>
      <c r="AD139" s="492"/>
      <c r="AE139" s="493"/>
    </row>
    <row r="140" spans="1:31" ht="26.1" customHeight="1">
      <c r="A140" s="453"/>
      <c r="B140" s="434" t="s">
        <v>503</v>
      </c>
      <c r="C140" s="435"/>
      <c r="D140" s="435"/>
      <c r="E140" s="436"/>
      <c r="F140" s="437">
        <v>0.19</v>
      </c>
      <c r="G140" s="438"/>
      <c r="H140" s="438"/>
      <c r="I140" s="438"/>
      <c r="J140" s="438"/>
      <c r="K140" s="439"/>
      <c r="L140" s="437">
        <v>0.13</v>
      </c>
      <c r="M140" s="438"/>
      <c r="N140" s="438"/>
      <c r="O140" s="438"/>
      <c r="P140" s="438"/>
      <c r="Q140" s="438"/>
      <c r="R140" s="438"/>
      <c r="S140" s="438"/>
      <c r="T140" s="438"/>
      <c r="U140" s="438"/>
      <c r="V140" s="438"/>
      <c r="W140" s="439"/>
      <c r="X140" s="437">
        <v>0.13</v>
      </c>
      <c r="Y140" s="438"/>
      <c r="Z140" s="438"/>
      <c r="AA140" s="439"/>
      <c r="AB140" s="453"/>
      <c r="AC140" s="492"/>
      <c r="AD140" s="492"/>
      <c r="AE140" s="493"/>
    </row>
    <row r="141" spans="1:31" ht="31.5" customHeight="1">
      <c r="A141" s="453"/>
      <c r="B141" s="485" t="s">
        <v>504</v>
      </c>
      <c r="C141" s="486"/>
      <c r="D141" s="486"/>
      <c r="E141" s="487"/>
      <c r="F141" s="437">
        <v>0.25</v>
      </c>
      <c r="G141" s="438"/>
      <c r="H141" s="438"/>
      <c r="I141" s="438"/>
      <c r="J141" s="438"/>
      <c r="K141" s="439"/>
      <c r="L141" s="437">
        <v>0.16</v>
      </c>
      <c r="M141" s="438"/>
      <c r="N141" s="438"/>
      <c r="O141" s="438"/>
      <c r="P141" s="438"/>
      <c r="Q141" s="438"/>
      <c r="R141" s="438"/>
      <c r="S141" s="438"/>
      <c r="T141" s="438"/>
      <c r="U141" s="438"/>
      <c r="V141" s="438"/>
      <c r="W141" s="439"/>
      <c r="X141" s="437">
        <v>0.13</v>
      </c>
      <c r="Y141" s="438"/>
      <c r="Z141" s="438"/>
      <c r="AA141" s="439"/>
      <c r="AB141" s="453"/>
      <c r="AC141" s="492"/>
      <c r="AD141" s="492"/>
      <c r="AE141" s="493"/>
    </row>
    <row r="142" spans="1:31" ht="31.5" customHeight="1">
      <c r="A142" s="453"/>
      <c r="B142" s="485" t="s">
        <v>505</v>
      </c>
      <c r="C142" s="486"/>
      <c r="D142" s="486"/>
      <c r="E142" s="487"/>
      <c r="F142" s="437">
        <v>0.14000000000000001</v>
      </c>
      <c r="G142" s="438"/>
      <c r="H142" s="438"/>
      <c r="I142" s="438"/>
      <c r="J142" s="438"/>
      <c r="K142" s="439"/>
      <c r="L142" s="437">
        <v>0.14000000000000001</v>
      </c>
      <c r="M142" s="438"/>
      <c r="N142" s="438"/>
      <c r="O142" s="438"/>
      <c r="P142" s="438"/>
      <c r="Q142" s="438"/>
      <c r="R142" s="438"/>
      <c r="S142" s="438"/>
      <c r="T142" s="438"/>
      <c r="U142" s="438"/>
      <c r="V142" s="438"/>
      <c r="W142" s="439"/>
      <c r="X142" s="437">
        <v>0.1</v>
      </c>
      <c r="Y142" s="438"/>
      <c r="Z142" s="438"/>
      <c r="AA142" s="439"/>
      <c r="AB142" s="453"/>
      <c r="AC142" s="492"/>
      <c r="AD142" s="492"/>
      <c r="AE142" s="493"/>
    </row>
    <row r="143" spans="1:31" ht="26.1" customHeight="1">
      <c r="A143" s="453"/>
      <c r="B143" s="434" t="s">
        <v>506</v>
      </c>
      <c r="C143" s="435"/>
      <c r="D143" s="435"/>
      <c r="E143" s="436"/>
      <c r="F143" s="437">
        <v>0.11</v>
      </c>
      <c r="G143" s="438"/>
      <c r="H143" s="438"/>
      <c r="I143" s="438"/>
      <c r="J143" s="438"/>
      <c r="K143" s="439"/>
      <c r="L143" s="437">
        <v>0.11</v>
      </c>
      <c r="M143" s="438"/>
      <c r="N143" s="438"/>
      <c r="O143" s="438"/>
      <c r="P143" s="438"/>
      <c r="Q143" s="438"/>
      <c r="R143" s="438"/>
      <c r="S143" s="438"/>
      <c r="T143" s="438"/>
      <c r="U143" s="438"/>
      <c r="V143" s="438"/>
      <c r="W143" s="439"/>
      <c r="X143" s="437">
        <v>0.06</v>
      </c>
      <c r="Y143" s="438"/>
      <c r="Z143" s="438"/>
      <c r="AA143" s="439"/>
      <c r="AB143" s="453"/>
      <c r="AC143" s="492"/>
      <c r="AD143" s="492"/>
      <c r="AE143" s="493"/>
    </row>
    <row r="144" spans="1:31" ht="15.75" customHeight="1">
      <c r="A144" s="453"/>
      <c r="B144" s="434" t="s">
        <v>507</v>
      </c>
      <c r="C144" s="435"/>
      <c r="D144" s="435"/>
      <c r="E144" s="436"/>
      <c r="F144" s="437">
        <v>0.08</v>
      </c>
      <c r="G144" s="438"/>
      <c r="H144" s="438"/>
      <c r="I144" s="438"/>
      <c r="J144" s="438"/>
      <c r="K144" s="439"/>
      <c r="L144" s="437">
        <v>0.03</v>
      </c>
      <c r="M144" s="438"/>
      <c r="N144" s="438"/>
      <c r="O144" s="438"/>
      <c r="P144" s="438"/>
      <c r="Q144" s="438"/>
      <c r="R144" s="438"/>
      <c r="S144" s="438"/>
      <c r="T144" s="438"/>
      <c r="U144" s="438"/>
      <c r="V144" s="438"/>
      <c r="W144" s="439"/>
      <c r="X144" s="437">
        <v>0.18</v>
      </c>
      <c r="Y144" s="438"/>
      <c r="Z144" s="438"/>
      <c r="AA144" s="439"/>
      <c r="AB144" s="453"/>
      <c r="AC144" s="492"/>
      <c r="AD144" s="492"/>
      <c r="AE144" s="493"/>
    </row>
    <row r="145" spans="1:31" ht="26.1" customHeight="1">
      <c r="A145" s="453"/>
      <c r="B145" s="434" t="s">
        <v>508</v>
      </c>
      <c r="C145" s="435"/>
      <c r="D145" s="435"/>
      <c r="E145" s="436"/>
      <c r="F145" s="437">
        <v>0.32</v>
      </c>
      <c r="G145" s="438"/>
      <c r="H145" s="438"/>
      <c r="I145" s="438"/>
      <c r="J145" s="438"/>
      <c r="K145" s="439"/>
      <c r="L145" s="437">
        <v>0.32</v>
      </c>
      <c r="M145" s="438"/>
      <c r="N145" s="438"/>
      <c r="O145" s="438"/>
      <c r="P145" s="438"/>
      <c r="Q145" s="438"/>
      <c r="R145" s="438"/>
      <c r="S145" s="438"/>
      <c r="T145" s="438"/>
      <c r="U145" s="438"/>
      <c r="V145" s="438"/>
      <c r="W145" s="439"/>
      <c r="X145" s="437">
        <v>0.2</v>
      </c>
      <c r="Y145" s="438"/>
      <c r="Z145" s="438"/>
      <c r="AA145" s="439"/>
      <c r="AB145" s="453"/>
      <c r="AC145" s="492"/>
      <c r="AD145" s="492"/>
      <c r="AE145" s="493"/>
    </row>
    <row r="146" spans="1:31" ht="26.1" customHeight="1">
      <c r="A146" s="453"/>
      <c r="B146" s="434" t="s">
        <v>509</v>
      </c>
      <c r="C146" s="435"/>
      <c r="D146" s="435"/>
      <c r="E146" s="436"/>
      <c r="F146" s="437">
        <v>0.42</v>
      </c>
      <c r="G146" s="438"/>
      <c r="H146" s="438"/>
      <c r="I146" s="438"/>
      <c r="J146" s="438"/>
      <c r="K146" s="439"/>
      <c r="L146" s="437">
        <v>0.08</v>
      </c>
      <c r="M146" s="438"/>
      <c r="N146" s="438"/>
      <c r="O146" s="438"/>
      <c r="P146" s="438"/>
      <c r="Q146" s="438"/>
      <c r="R146" s="438"/>
      <c r="S146" s="438"/>
      <c r="T146" s="438"/>
      <c r="U146" s="438"/>
      <c r="V146" s="438"/>
      <c r="W146" s="439"/>
      <c r="X146" s="437">
        <v>7.0000000000000007E-2</v>
      </c>
      <c r="Y146" s="438"/>
      <c r="Z146" s="438"/>
      <c r="AA146" s="439"/>
      <c r="AB146" s="453"/>
      <c r="AC146" s="492"/>
      <c r="AD146" s="492"/>
      <c r="AE146" s="493"/>
    </row>
    <row r="147" spans="1:31" ht="15.75" customHeight="1">
      <c r="A147" s="453"/>
      <c r="B147" s="434" t="s">
        <v>510</v>
      </c>
      <c r="C147" s="435"/>
      <c r="D147" s="435"/>
      <c r="E147" s="436"/>
      <c r="F147" s="437">
        <v>0.31</v>
      </c>
      <c r="G147" s="438"/>
      <c r="H147" s="438"/>
      <c r="I147" s="438"/>
      <c r="J147" s="438"/>
      <c r="K147" s="439"/>
      <c r="L147" s="437">
        <v>0.31</v>
      </c>
      <c r="M147" s="438"/>
      <c r="N147" s="438"/>
      <c r="O147" s="438"/>
      <c r="P147" s="438"/>
      <c r="Q147" s="438"/>
      <c r="R147" s="438"/>
      <c r="S147" s="438"/>
      <c r="T147" s="438"/>
      <c r="U147" s="438"/>
      <c r="V147" s="438"/>
      <c r="W147" s="439"/>
      <c r="X147" s="437">
        <v>0.32</v>
      </c>
      <c r="Y147" s="438"/>
      <c r="Z147" s="438"/>
      <c r="AA147" s="439"/>
      <c r="AB147" s="453"/>
      <c r="AC147" s="492"/>
      <c r="AD147" s="492"/>
      <c r="AE147" s="493"/>
    </row>
    <row r="148" spans="1:31" ht="39" customHeight="1">
      <c r="A148" s="453"/>
      <c r="B148" s="485" t="s">
        <v>511</v>
      </c>
      <c r="C148" s="486"/>
      <c r="D148" s="486"/>
      <c r="E148" s="487"/>
      <c r="F148" s="437">
        <v>0.62</v>
      </c>
      <c r="G148" s="438"/>
      <c r="H148" s="438"/>
      <c r="I148" s="438"/>
      <c r="J148" s="438"/>
      <c r="K148" s="439"/>
      <c r="L148" s="437">
        <v>0.62</v>
      </c>
      <c r="M148" s="438"/>
      <c r="N148" s="438"/>
      <c r="O148" s="438"/>
      <c r="P148" s="438"/>
      <c r="Q148" s="438"/>
      <c r="R148" s="438"/>
      <c r="S148" s="438"/>
      <c r="T148" s="438"/>
      <c r="U148" s="438"/>
      <c r="V148" s="438"/>
      <c r="W148" s="439"/>
      <c r="X148" s="437">
        <v>0.62</v>
      </c>
      <c r="Y148" s="438"/>
      <c r="Z148" s="438"/>
      <c r="AA148" s="439"/>
      <c r="AB148" s="453"/>
      <c r="AC148" s="492"/>
      <c r="AD148" s="492"/>
      <c r="AE148" s="493"/>
    </row>
    <row r="149" spans="1:31" ht="15.75" customHeight="1">
      <c r="A149" s="453"/>
      <c r="B149" s="434" t="s">
        <v>512</v>
      </c>
      <c r="C149" s="435"/>
      <c r="D149" s="435"/>
      <c r="E149" s="436"/>
      <c r="F149" s="437">
        <v>0.1</v>
      </c>
      <c r="G149" s="438"/>
      <c r="H149" s="438"/>
      <c r="I149" s="438"/>
      <c r="J149" s="438"/>
      <c r="K149" s="439"/>
      <c r="L149" s="437">
        <v>0.1</v>
      </c>
      <c r="M149" s="438"/>
      <c r="N149" s="438"/>
      <c r="O149" s="438"/>
      <c r="P149" s="438"/>
      <c r="Q149" s="438"/>
      <c r="R149" s="438"/>
      <c r="S149" s="438"/>
      <c r="T149" s="438"/>
      <c r="U149" s="438"/>
      <c r="V149" s="438"/>
      <c r="W149" s="439"/>
      <c r="X149" s="437">
        <v>7.0000000000000007E-2</v>
      </c>
      <c r="Y149" s="438"/>
      <c r="Z149" s="438"/>
      <c r="AA149" s="439"/>
      <c r="AB149" s="453"/>
      <c r="AC149" s="492"/>
      <c r="AD149" s="492"/>
      <c r="AE149" s="493"/>
    </row>
    <row r="150" spans="1:31" ht="15.75" customHeight="1">
      <c r="A150" s="453"/>
      <c r="B150" s="434" t="s">
        <v>513</v>
      </c>
      <c r="C150" s="435"/>
      <c r="D150" s="435"/>
      <c r="E150" s="436"/>
      <c r="F150" s="437">
        <v>0.23</v>
      </c>
      <c r="G150" s="438"/>
      <c r="H150" s="438"/>
      <c r="I150" s="438"/>
      <c r="J150" s="438"/>
      <c r="K150" s="439"/>
      <c r="L150" s="437">
        <v>0.1</v>
      </c>
      <c r="M150" s="438"/>
      <c r="N150" s="438"/>
      <c r="O150" s="438"/>
      <c r="P150" s="438"/>
      <c r="Q150" s="438"/>
      <c r="R150" s="438"/>
      <c r="S150" s="438"/>
      <c r="T150" s="438"/>
      <c r="U150" s="438"/>
      <c r="V150" s="438"/>
      <c r="W150" s="439"/>
      <c r="X150" s="437">
        <v>0.48</v>
      </c>
      <c r="Y150" s="438"/>
      <c r="Z150" s="438"/>
      <c r="AA150" s="439"/>
      <c r="AB150" s="453"/>
      <c r="AC150" s="492"/>
      <c r="AD150" s="492"/>
      <c r="AE150" s="493"/>
    </row>
    <row r="151" spans="1:31" ht="15.75" customHeight="1">
      <c r="A151" s="453"/>
      <c r="B151" s="434" t="s">
        <v>514</v>
      </c>
      <c r="C151" s="435"/>
      <c r="D151" s="435"/>
      <c r="E151" s="436"/>
      <c r="F151" s="506" t="s">
        <v>515</v>
      </c>
      <c r="G151" s="507"/>
      <c r="H151" s="507"/>
      <c r="I151" s="507"/>
      <c r="J151" s="507"/>
      <c r="K151" s="508"/>
      <c r="L151" s="506" t="s">
        <v>515</v>
      </c>
      <c r="M151" s="507"/>
      <c r="N151" s="507"/>
      <c r="O151" s="507"/>
      <c r="P151" s="507"/>
      <c r="Q151" s="507"/>
      <c r="R151" s="507"/>
      <c r="S151" s="507"/>
      <c r="T151" s="507"/>
      <c r="U151" s="507"/>
      <c r="V151" s="507"/>
      <c r="W151" s="508"/>
      <c r="X151" s="437">
        <v>0.1</v>
      </c>
      <c r="Y151" s="438"/>
      <c r="Z151" s="438"/>
      <c r="AA151" s="439"/>
      <c r="AB151" s="453"/>
      <c r="AC151" s="492"/>
      <c r="AD151" s="492"/>
      <c r="AE151" s="493"/>
    </row>
    <row r="152" spans="1:31" ht="15.75" customHeight="1">
      <c r="A152" s="453"/>
      <c r="B152" s="434" t="s">
        <v>516</v>
      </c>
      <c r="C152" s="435"/>
      <c r="D152" s="435"/>
      <c r="E152" s="436"/>
      <c r="F152" s="506" t="s">
        <v>515</v>
      </c>
      <c r="G152" s="507"/>
      <c r="H152" s="507"/>
      <c r="I152" s="507"/>
      <c r="J152" s="507"/>
      <c r="K152" s="508"/>
      <c r="L152" s="506" t="s">
        <v>515</v>
      </c>
      <c r="M152" s="507"/>
      <c r="N152" s="507"/>
      <c r="O152" s="507"/>
      <c r="P152" s="507"/>
      <c r="Q152" s="507"/>
      <c r="R152" s="507"/>
      <c r="S152" s="507"/>
      <c r="T152" s="507"/>
      <c r="U152" s="507"/>
      <c r="V152" s="507"/>
      <c r="W152" s="508"/>
      <c r="X152" s="437">
        <v>0.11</v>
      </c>
      <c r="Y152" s="438"/>
      <c r="Z152" s="438"/>
      <c r="AA152" s="439"/>
      <c r="AB152" s="453"/>
      <c r="AC152" s="492"/>
      <c r="AD152" s="492"/>
      <c r="AE152" s="493"/>
    </row>
    <row r="153" spans="1:31" ht="15.75" customHeight="1">
      <c r="A153" s="453"/>
      <c r="B153" s="434" t="s">
        <v>517</v>
      </c>
      <c r="C153" s="435"/>
      <c r="D153" s="435"/>
      <c r="E153" s="436"/>
      <c r="F153" s="506" t="s">
        <v>515</v>
      </c>
      <c r="G153" s="507"/>
      <c r="H153" s="507"/>
      <c r="I153" s="507"/>
      <c r="J153" s="507"/>
      <c r="K153" s="508"/>
      <c r="L153" s="506" t="s">
        <v>515</v>
      </c>
      <c r="M153" s="507"/>
      <c r="N153" s="507"/>
      <c r="O153" s="507"/>
      <c r="P153" s="507"/>
      <c r="Q153" s="507"/>
      <c r="R153" s="507"/>
      <c r="S153" s="507"/>
      <c r="T153" s="507"/>
      <c r="U153" s="507"/>
      <c r="V153" s="507"/>
      <c r="W153" s="508"/>
      <c r="X153" s="437">
        <v>7.0000000000000007E-2</v>
      </c>
      <c r="Y153" s="438"/>
      <c r="Z153" s="438"/>
      <c r="AA153" s="439"/>
      <c r="AB153" s="453"/>
      <c r="AC153" s="492"/>
      <c r="AD153" s="492"/>
      <c r="AE153" s="493"/>
    </row>
    <row r="154" spans="1:31" ht="15.75" customHeight="1">
      <c r="A154" s="453"/>
      <c r="B154" s="434" t="s">
        <v>518</v>
      </c>
      <c r="C154" s="435"/>
      <c r="D154" s="435"/>
      <c r="E154" s="436"/>
      <c r="F154" s="506" t="s">
        <v>515</v>
      </c>
      <c r="G154" s="507"/>
      <c r="H154" s="507"/>
      <c r="I154" s="507"/>
      <c r="J154" s="507"/>
      <c r="K154" s="508"/>
      <c r="L154" s="506" t="s">
        <v>515</v>
      </c>
      <c r="M154" s="507"/>
      <c r="N154" s="507"/>
      <c r="O154" s="507"/>
      <c r="P154" s="507"/>
      <c r="Q154" s="507"/>
      <c r="R154" s="507"/>
      <c r="S154" s="507"/>
      <c r="T154" s="507"/>
      <c r="U154" s="507"/>
      <c r="V154" s="507"/>
      <c r="W154" s="508"/>
      <c r="X154" s="437">
        <v>0.04</v>
      </c>
      <c r="Y154" s="438"/>
      <c r="Z154" s="438"/>
      <c r="AA154" s="439"/>
      <c r="AB154" s="453"/>
      <c r="AC154" s="492"/>
      <c r="AD154" s="492"/>
      <c r="AE154" s="493"/>
    </row>
    <row r="155" spans="1:31" ht="15.75" customHeight="1">
      <c r="A155" s="453"/>
      <c r="B155" s="434" t="s">
        <v>519</v>
      </c>
      <c r="C155" s="435"/>
      <c r="D155" s="435"/>
      <c r="E155" s="436"/>
      <c r="F155" s="506" t="s">
        <v>515</v>
      </c>
      <c r="G155" s="507"/>
      <c r="H155" s="507"/>
      <c r="I155" s="507"/>
      <c r="J155" s="507"/>
      <c r="K155" s="508"/>
      <c r="L155" s="506" t="s">
        <v>515</v>
      </c>
      <c r="M155" s="507"/>
      <c r="N155" s="507"/>
      <c r="O155" s="507"/>
      <c r="P155" s="507"/>
      <c r="Q155" s="507"/>
      <c r="R155" s="507"/>
      <c r="S155" s="507"/>
      <c r="T155" s="507"/>
      <c r="U155" s="507"/>
      <c r="V155" s="507"/>
      <c r="W155" s="508"/>
      <c r="X155" s="437">
        <v>0.09</v>
      </c>
      <c r="Y155" s="438"/>
      <c r="Z155" s="438"/>
      <c r="AA155" s="439"/>
      <c r="AB155" s="453"/>
      <c r="AC155" s="492"/>
      <c r="AD155" s="492"/>
      <c r="AE155" s="493"/>
    </row>
    <row r="156" spans="1:31" ht="15.75" customHeight="1">
      <c r="A156" s="453"/>
      <c r="B156" s="434" t="s">
        <v>520</v>
      </c>
      <c r="C156" s="435"/>
      <c r="D156" s="435"/>
      <c r="E156" s="436"/>
      <c r="F156" s="506" t="s">
        <v>515</v>
      </c>
      <c r="G156" s="507"/>
      <c r="H156" s="507"/>
      <c r="I156" s="507"/>
      <c r="J156" s="507"/>
      <c r="K156" s="508"/>
      <c r="L156" s="506" t="s">
        <v>515</v>
      </c>
      <c r="M156" s="507"/>
      <c r="N156" s="507"/>
      <c r="O156" s="507"/>
      <c r="P156" s="507"/>
      <c r="Q156" s="507"/>
      <c r="R156" s="507"/>
      <c r="S156" s="507"/>
      <c r="T156" s="507"/>
      <c r="U156" s="507"/>
      <c r="V156" s="507"/>
      <c r="W156" s="508"/>
      <c r="X156" s="437">
        <v>0.05</v>
      </c>
      <c r="Y156" s="438"/>
      <c r="Z156" s="438"/>
      <c r="AA156" s="439"/>
      <c r="AB156" s="453"/>
      <c r="AC156" s="492"/>
      <c r="AD156" s="492"/>
      <c r="AE156" s="493"/>
    </row>
    <row r="157" spans="1:31" ht="15.75" customHeight="1">
      <c r="A157" s="453"/>
      <c r="B157" s="434" t="s">
        <v>521</v>
      </c>
      <c r="C157" s="435"/>
      <c r="D157" s="435"/>
      <c r="E157" s="436"/>
      <c r="F157" s="506" t="s">
        <v>515</v>
      </c>
      <c r="G157" s="507"/>
      <c r="H157" s="507"/>
      <c r="I157" s="507"/>
      <c r="J157" s="507"/>
      <c r="K157" s="508"/>
      <c r="L157" s="506" t="s">
        <v>515</v>
      </c>
      <c r="M157" s="507"/>
      <c r="N157" s="507"/>
      <c r="O157" s="507"/>
      <c r="P157" s="507"/>
      <c r="Q157" s="507"/>
      <c r="R157" s="507"/>
      <c r="S157" s="507"/>
      <c r="T157" s="507"/>
      <c r="U157" s="507"/>
      <c r="V157" s="507"/>
      <c r="W157" s="508"/>
      <c r="X157" s="437">
        <v>0.2</v>
      </c>
      <c r="Y157" s="438"/>
      <c r="Z157" s="438"/>
      <c r="AA157" s="439"/>
      <c r="AB157" s="453"/>
      <c r="AC157" s="492"/>
      <c r="AD157" s="492"/>
      <c r="AE157" s="493"/>
    </row>
    <row r="158" spans="1:31" ht="89.1" customHeight="1">
      <c r="A158" s="485" t="s">
        <v>522</v>
      </c>
      <c r="B158" s="486"/>
      <c r="C158" s="486"/>
      <c r="D158" s="486"/>
      <c r="E158" s="486"/>
      <c r="F158" s="486"/>
      <c r="G158" s="486"/>
      <c r="H158" s="486"/>
      <c r="I158" s="486"/>
      <c r="J158" s="486"/>
      <c r="K158" s="486"/>
      <c r="L158" s="486"/>
      <c r="M158" s="486"/>
      <c r="N158" s="486"/>
      <c r="O158" s="486"/>
      <c r="P158" s="486"/>
      <c r="Q158" s="486"/>
      <c r="R158" s="486"/>
      <c r="S158" s="486"/>
      <c r="T158" s="486"/>
      <c r="U158" s="486"/>
      <c r="V158" s="486"/>
      <c r="W158" s="486"/>
      <c r="X158" s="486"/>
      <c r="Y158" s="486"/>
      <c r="Z158" s="486"/>
      <c r="AA158" s="487"/>
      <c r="AB158" s="464"/>
      <c r="AC158" s="465"/>
      <c r="AD158" s="465"/>
      <c r="AE158" s="466"/>
    </row>
    <row r="159" spans="1:31" ht="16.5" customHeight="1">
      <c r="A159" s="446" t="s">
        <v>411</v>
      </c>
      <c r="B159" s="447"/>
      <c r="C159" s="447"/>
      <c r="D159" s="447"/>
      <c r="E159" s="447"/>
      <c r="F159" s="447"/>
      <c r="G159" s="447"/>
      <c r="H159" s="447"/>
      <c r="I159" s="447"/>
      <c r="J159" s="447"/>
      <c r="K159" s="447"/>
      <c r="L159" s="447"/>
      <c r="M159" s="447"/>
      <c r="N159" s="447"/>
      <c r="O159" s="447"/>
      <c r="P159" s="447"/>
      <c r="Q159" s="447"/>
      <c r="R159" s="447"/>
      <c r="S159" s="447"/>
      <c r="T159" s="447"/>
      <c r="U159" s="447"/>
      <c r="V159" s="447"/>
      <c r="W159" s="447"/>
      <c r="X159" s="447"/>
      <c r="Y159" s="447"/>
      <c r="Z159" s="447"/>
      <c r="AA159" s="448"/>
      <c r="AB159" s="446" t="s">
        <v>412</v>
      </c>
      <c r="AC159" s="447"/>
      <c r="AD159" s="447"/>
      <c r="AE159" s="448"/>
    </row>
    <row r="160" spans="1:31" ht="12.95" customHeight="1">
      <c r="A160" s="449"/>
      <c r="B160" s="450"/>
      <c r="C160" s="450"/>
      <c r="D160" s="450"/>
      <c r="E160" s="450"/>
      <c r="F160" s="450"/>
      <c r="G160" s="450"/>
      <c r="H160" s="450"/>
      <c r="I160" s="450"/>
      <c r="J160" s="450"/>
      <c r="K160" s="450"/>
      <c r="L160" s="450"/>
      <c r="M160" s="450"/>
      <c r="N160" s="450"/>
      <c r="O160" s="450"/>
      <c r="P160" s="450"/>
      <c r="Q160" s="450"/>
      <c r="R160" s="450"/>
      <c r="S160" s="450"/>
      <c r="T160" s="450"/>
      <c r="U160" s="450"/>
      <c r="V160" s="450"/>
      <c r="W160" s="450"/>
      <c r="X160" s="450"/>
      <c r="Y160" s="450"/>
      <c r="Z160" s="450"/>
      <c r="AA160" s="451"/>
      <c r="AB160" s="488" t="s">
        <v>523</v>
      </c>
      <c r="AC160" s="489"/>
      <c r="AD160" s="489"/>
      <c r="AE160" s="490"/>
    </row>
    <row r="161" spans="1:31" ht="15.75" customHeight="1">
      <c r="A161" s="453"/>
      <c r="B161" s="455" t="s">
        <v>494</v>
      </c>
      <c r="C161" s="456"/>
      <c r="D161" s="456"/>
      <c r="E161" s="457"/>
      <c r="F161" s="499" t="s">
        <v>495</v>
      </c>
      <c r="G161" s="500"/>
      <c r="H161" s="500"/>
      <c r="I161" s="500"/>
      <c r="J161" s="500"/>
      <c r="K161" s="500"/>
      <c r="L161" s="500"/>
      <c r="M161" s="500"/>
      <c r="N161" s="500"/>
      <c r="O161" s="500"/>
      <c r="P161" s="500"/>
      <c r="Q161" s="500"/>
      <c r="R161" s="500"/>
      <c r="S161" s="500"/>
      <c r="T161" s="500"/>
      <c r="U161" s="500"/>
      <c r="V161" s="500"/>
      <c r="W161" s="500"/>
      <c r="X161" s="500"/>
      <c r="Y161" s="500"/>
      <c r="Z161" s="500"/>
      <c r="AA161" s="501"/>
      <c r="AB161" s="453"/>
      <c r="AC161" s="492"/>
      <c r="AD161" s="492"/>
      <c r="AE161" s="493"/>
    </row>
    <row r="162" spans="1:31" ht="26.1" customHeight="1">
      <c r="A162" s="453"/>
      <c r="B162" s="509"/>
      <c r="C162" s="510"/>
      <c r="D162" s="510"/>
      <c r="E162" s="511"/>
      <c r="F162" s="479" t="s">
        <v>524</v>
      </c>
      <c r="G162" s="480"/>
      <c r="H162" s="480"/>
      <c r="I162" s="480"/>
      <c r="J162" s="480"/>
      <c r="K162" s="481"/>
      <c r="L162" s="512" t="s">
        <v>525</v>
      </c>
      <c r="M162" s="513"/>
      <c r="N162" s="513"/>
      <c r="O162" s="513"/>
      <c r="P162" s="513"/>
      <c r="Q162" s="513"/>
      <c r="R162" s="513"/>
      <c r="S162" s="513"/>
      <c r="T162" s="513"/>
      <c r="U162" s="513"/>
      <c r="V162" s="513"/>
      <c r="W162" s="514"/>
      <c r="X162" s="479" t="s">
        <v>526</v>
      </c>
      <c r="Y162" s="480"/>
      <c r="Z162" s="480"/>
      <c r="AA162" s="481"/>
      <c r="AB162" s="453"/>
      <c r="AC162" s="492"/>
      <c r="AD162" s="492"/>
      <c r="AE162" s="493"/>
    </row>
    <row r="163" spans="1:31" ht="31.5" customHeight="1">
      <c r="A163" s="453"/>
      <c r="B163" s="485" t="s">
        <v>527</v>
      </c>
      <c r="C163" s="486"/>
      <c r="D163" s="486"/>
      <c r="E163" s="487"/>
      <c r="F163" s="437">
        <v>0.22</v>
      </c>
      <c r="G163" s="438"/>
      <c r="H163" s="438"/>
      <c r="I163" s="438"/>
      <c r="J163" s="438"/>
      <c r="K163" s="439"/>
      <c r="L163" s="437">
        <v>0.22</v>
      </c>
      <c r="M163" s="438"/>
      <c r="N163" s="438"/>
      <c r="O163" s="438"/>
      <c r="P163" s="438"/>
      <c r="Q163" s="438"/>
      <c r="R163" s="438"/>
      <c r="S163" s="438"/>
      <c r="T163" s="438"/>
      <c r="U163" s="438"/>
      <c r="V163" s="438"/>
      <c r="W163" s="439"/>
      <c r="X163" s="437">
        <v>0.22</v>
      </c>
      <c r="Y163" s="438"/>
      <c r="Z163" s="438"/>
      <c r="AA163" s="439"/>
      <c r="AB163" s="453"/>
      <c r="AC163" s="492"/>
      <c r="AD163" s="492"/>
      <c r="AE163" s="493"/>
    </row>
    <row r="164" spans="1:31" ht="15.75" customHeight="1">
      <c r="A164" s="453"/>
      <c r="B164" s="434" t="s">
        <v>528</v>
      </c>
      <c r="C164" s="435"/>
      <c r="D164" s="435"/>
      <c r="E164" s="436"/>
      <c r="F164" s="437">
        <v>0.13</v>
      </c>
      <c r="G164" s="438"/>
      <c r="H164" s="438"/>
      <c r="I164" s="438"/>
      <c r="J164" s="438"/>
      <c r="K164" s="439"/>
      <c r="L164" s="437">
        <v>0.13</v>
      </c>
      <c r="M164" s="438"/>
      <c r="N164" s="438"/>
      <c r="O164" s="438"/>
      <c r="P164" s="438"/>
      <c r="Q164" s="438"/>
      <c r="R164" s="438"/>
      <c r="S164" s="438"/>
      <c r="T164" s="438"/>
      <c r="U164" s="438"/>
      <c r="V164" s="438"/>
      <c r="W164" s="439"/>
      <c r="X164" s="437">
        <v>0.31</v>
      </c>
      <c r="Y164" s="438"/>
      <c r="Z164" s="438"/>
      <c r="AA164" s="439"/>
      <c r="AB164" s="453"/>
      <c r="AC164" s="492"/>
      <c r="AD164" s="492"/>
      <c r="AE164" s="493"/>
    </row>
    <row r="165" spans="1:31" ht="15.75" customHeight="1">
      <c r="A165" s="453"/>
      <c r="B165" s="434" t="s">
        <v>529</v>
      </c>
      <c r="C165" s="435"/>
      <c r="D165" s="435"/>
      <c r="E165" s="436"/>
      <c r="F165" s="437">
        <v>0.09</v>
      </c>
      <c r="G165" s="438"/>
      <c r="H165" s="438"/>
      <c r="I165" s="438"/>
      <c r="J165" s="438"/>
      <c r="K165" s="439"/>
      <c r="L165" s="437">
        <v>0.09</v>
      </c>
      <c r="M165" s="438"/>
      <c r="N165" s="438"/>
      <c r="O165" s="438"/>
      <c r="P165" s="438"/>
      <c r="Q165" s="438"/>
      <c r="R165" s="438"/>
      <c r="S165" s="438"/>
      <c r="T165" s="438"/>
      <c r="U165" s="438"/>
      <c r="V165" s="438"/>
      <c r="W165" s="439"/>
      <c r="X165" s="437">
        <v>0.09</v>
      </c>
      <c r="Y165" s="438"/>
      <c r="Z165" s="438"/>
      <c r="AA165" s="439"/>
      <c r="AB165" s="453"/>
      <c r="AC165" s="492"/>
      <c r="AD165" s="492"/>
      <c r="AE165" s="493"/>
    </row>
    <row r="166" spans="1:31" ht="15.75" customHeight="1">
      <c r="A166" s="453"/>
      <c r="B166" s="434" t="s">
        <v>502</v>
      </c>
      <c r="C166" s="435"/>
      <c r="D166" s="435"/>
      <c r="E166" s="436"/>
      <c r="F166" s="437">
        <v>0.38</v>
      </c>
      <c r="G166" s="438"/>
      <c r="H166" s="438"/>
      <c r="I166" s="438"/>
      <c r="J166" s="438"/>
      <c r="K166" s="439"/>
      <c r="L166" s="437">
        <v>0.38</v>
      </c>
      <c r="M166" s="438"/>
      <c r="N166" s="438"/>
      <c r="O166" s="438"/>
      <c r="P166" s="438"/>
      <c r="Q166" s="438"/>
      <c r="R166" s="438"/>
      <c r="S166" s="438"/>
      <c r="T166" s="438"/>
      <c r="U166" s="438"/>
      <c r="V166" s="438"/>
      <c r="W166" s="439"/>
      <c r="X166" s="437">
        <v>0.39</v>
      </c>
      <c r="Y166" s="438"/>
      <c r="Z166" s="438"/>
      <c r="AA166" s="439"/>
      <c r="AB166" s="453"/>
      <c r="AC166" s="492"/>
      <c r="AD166" s="492"/>
      <c r="AE166" s="493"/>
    </row>
    <row r="167" spans="1:31" ht="15.75" customHeight="1">
      <c r="A167" s="453"/>
      <c r="B167" s="434" t="s">
        <v>510</v>
      </c>
      <c r="C167" s="435"/>
      <c r="D167" s="435"/>
      <c r="E167" s="436"/>
      <c r="F167" s="437">
        <v>0.22</v>
      </c>
      <c r="G167" s="438"/>
      <c r="H167" s="438"/>
      <c r="I167" s="438"/>
      <c r="J167" s="438"/>
      <c r="K167" s="439"/>
      <c r="L167" s="437">
        <v>0.22</v>
      </c>
      <c r="M167" s="438"/>
      <c r="N167" s="438"/>
      <c r="O167" s="438"/>
      <c r="P167" s="438"/>
      <c r="Q167" s="438"/>
      <c r="R167" s="438"/>
      <c r="S167" s="438"/>
      <c r="T167" s="438"/>
      <c r="U167" s="438"/>
      <c r="V167" s="438"/>
      <c r="W167" s="439"/>
      <c r="X167" s="437">
        <v>0.63</v>
      </c>
      <c r="Y167" s="438"/>
      <c r="Z167" s="438"/>
      <c r="AA167" s="439"/>
      <c r="AB167" s="453"/>
      <c r="AC167" s="492"/>
      <c r="AD167" s="492"/>
      <c r="AE167" s="493"/>
    </row>
    <row r="168" spans="1:31" ht="15.75" customHeight="1">
      <c r="A168" s="453"/>
      <c r="B168" s="434" t="s">
        <v>530</v>
      </c>
      <c r="C168" s="435"/>
      <c r="D168" s="435"/>
      <c r="E168" s="436"/>
      <c r="F168" s="437">
        <v>0.31</v>
      </c>
      <c r="G168" s="438"/>
      <c r="H168" s="438"/>
      <c r="I168" s="438"/>
      <c r="J168" s="438"/>
      <c r="K168" s="439"/>
      <c r="L168" s="437">
        <v>0.12</v>
      </c>
      <c r="M168" s="438"/>
      <c r="N168" s="438"/>
      <c r="O168" s="438"/>
      <c r="P168" s="438"/>
      <c r="Q168" s="438"/>
      <c r="R168" s="438"/>
      <c r="S168" s="438"/>
      <c r="T168" s="438"/>
      <c r="U168" s="438"/>
      <c r="V168" s="438"/>
      <c r="W168" s="439"/>
      <c r="X168" s="437">
        <v>0.47</v>
      </c>
      <c r="Y168" s="438"/>
      <c r="Z168" s="438"/>
      <c r="AA168" s="439"/>
      <c r="AB168" s="453"/>
      <c r="AC168" s="492"/>
      <c r="AD168" s="492"/>
      <c r="AE168" s="493"/>
    </row>
    <row r="169" spans="1:31" ht="15.75" customHeight="1">
      <c r="A169" s="453"/>
      <c r="B169" s="434" t="s">
        <v>531</v>
      </c>
      <c r="C169" s="435"/>
      <c r="D169" s="435"/>
      <c r="E169" s="436"/>
      <c r="F169" s="437">
        <v>0.04</v>
      </c>
      <c r="G169" s="438"/>
      <c r="H169" s="438"/>
      <c r="I169" s="438"/>
      <c r="J169" s="438"/>
      <c r="K169" s="439"/>
      <c r="L169" s="437">
        <v>0.04</v>
      </c>
      <c r="M169" s="438"/>
      <c r="N169" s="438"/>
      <c r="O169" s="438"/>
      <c r="P169" s="438"/>
      <c r="Q169" s="438"/>
      <c r="R169" s="438"/>
      <c r="S169" s="438"/>
      <c r="T169" s="438"/>
      <c r="U169" s="438"/>
      <c r="V169" s="438"/>
      <c r="W169" s="439"/>
      <c r="X169" s="437">
        <v>0.04</v>
      </c>
      <c r="Y169" s="438"/>
      <c r="Z169" s="438"/>
      <c r="AA169" s="439"/>
      <c r="AB169" s="453"/>
      <c r="AC169" s="492"/>
      <c r="AD169" s="492"/>
      <c r="AE169" s="493"/>
    </row>
    <row r="170" spans="1:31" ht="26.1" customHeight="1">
      <c r="A170" s="453"/>
      <c r="B170" s="434" t="s">
        <v>532</v>
      </c>
      <c r="C170" s="435"/>
      <c r="D170" s="435"/>
      <c r="E170" s="436"/>
      <c r="F170" s="506" t="s">
        <v>515</v>
      </c>
      <c r="G170" s="507"/>
      <c r="H170" s="507"/>
      <c r="I170" s="507"/>
      <c r="J170" s="507"/>
      <c r="K170" s="508"/>
      <c r="L170" s="506" t="s">
        <v>515</v>
      </c>
      <c r="M170" s="507"/>
      <c r="N170" s="507"/>
      <c r="O170" s="507"/>
      <c r="P170" s="507"/>
      <c r="Q170" s="507"/>
      <c r="R170" s="507"/>
      <c r="S170" s="507"/>
      <c r="T170" s="507"/>
      <c r="U170" s="507"/>
      <c r="V170" s="507"/>
      <c r="W170" s="508"/>
      <c r="X170" s="437">
        <v>0.03</v>
      </c>
      <c r="Y170" s="438"/>
      <c r="Z170" s="438"/>
      <c r="AA170" s="439"/>
      <c r="AB170" s="453"/>
      <c r="AC170" s="492"/>
      <c r="AD170" s="492"/>
      <c r="AE170" s="493"/>
    </row>
    <row r="171" spans="1:31" ht="26.1" customHeight="1">
      <c r="A171" s="453"/>
      <c r="B171" s="434" t="s">
        <v>533</v>
      </c>
      <c r="C171" s="435"/>
      <c r="D171" s="435"/>
      <c r="E171" s="436"/>
      <c r="F171" s="506" t="s">
        <v>515</v>
      </c>
      <c r="G171" s="507"/>
      <c r="H171" s="507"/>
      <c r="I171" s="507"/>
      <c r="J171" s="507"/>
      <c r="K171" s="508"/>
      <c r="L171" s="506" t="s">
        <v>515</v>
      </c>
      <c r="M171" s="507"/>
      <c r="N171" s="507"/>
      <c r="O171" s="507"/>
      <c r="P171" s="507"/>
      <c r="Q171" s="507"/>
      <c r="R171" s="507"/>
      <c r="S171" s="507"/>
      <c r="T171" s="507"/>
      <c r="U171" s="507"/>
      <c r="V171" s="507"/>
      <c r="W171" s="508"/>
      <c r="X171" s="437">
        <v>0.19</v>
      </c>
      <c r="Y171" s="438"/>
      <c r="Z171" s="438"/>
      <c r="AA171" s="439"/>
      <c r="AB171" s="453"/>
      <c r="AC171" s="492"/>
      <c r="AD171" s="492"/>
      <c r="AE171" s="493"/>
    </row>
    <row r="172" spans="1:31" ht="14.45" customHeight="1">
      <c r="A172" s="449"/>
      <c r="B172" s="450"/>
      <c r="C172" s="450"/>
      <c r="D172" s="450"/>
      <c r="E172" s="450"/>
      <c r="F172" s="450"/>
      <c r="G172" s="450"/>
      <c r="H172" s="450"/>
      <c r="I172" s="450"/>
      <c r="J172" s="450"/>
      <c r="K172" s="450"/>
      <c r="L172" s="450"/>
      <c r="M172" s="450"/>
      <c r="N172" s="450"/>
      <c r="O172" s="450"/>
      <c r="P172" s="450"/>
      <c r="Q172" s="450"/>
      <c r="R172" s="450"/>
      <c r="S172" s="450"/>
      <c r="T172" s="450"/>
      <c r="U172" s="450"/>
      <c r="V172" s="450"/>
      <c r="W172" s="450"/>
      <c r="X172" s="450"/>
      <c r="Y172" s="450"/>
      <c r="Z172" s="450"/>
      <c r="AA172" s="451"/>
      <c r="AB172" s="464"/>
      <c r="AC172" s="465"/>
      <c r="AD172" s="465"/>
      <c r="AE172" s="466"/>
    </row>
    <row r="173" spans="1:31" ht="16.5" customHeight="1">
      <c r="A173" s="446" t="s">
        <v>411</v>
      </c>
      <c r="B173" s="447"/>
      <c r="C173" s="447"/>
      <c r="D173" s="447"/>
      <c r="E173" s="447"/>
      <c r="F173" s="447"/>
      <c r="G173" s="447"/>
      <c r="H173" s="447"/>
      <c r="I173" s="447"/>
      <c r="J173" s="447"/>
      <c r="K173" s="447"/>
      <c r="L173" s="447"/>
      <c r="M173" s="447"/>
      <c r="N173" s="447"/>
      <c r="O173" s="447"/>
      <c r="P173" s="447"/>
      <c r="Q173" s="447"/>
      <c r="R173" s="447"/>
      <c r="S173" s="447"/>
      <c r="T173" s="447"/>
      <c r="U173" s="447"/>
      <c r="V173" s="447"/>
      <c r="W173" s="447"/>
      <c r="X173" s="447"/>
      <c r="Y173" s="447"/>
      <c r="Z173" s="447"/>
      <c r="AA173" s="447"/>
      <c r="AB173" s="448"/>
      <c r="AC173" s="446" t="s">
        <v>412</v>
      </c>
      <c r="AD173" s="447"/>
      <c r="AE173" s="448"/>
    </row>
    <row r="174" spans="1:31" ht="12.95" customHeight="1">
      <c r="A174" s="467"/>
      <c r="B174" s="468"/>
      <c r="C174" s="468"/>
      <c r="D174" s="468"/>
      <c r="E174" s="468"/>
      <c r="F174" s="468"/>
      <c r="G174" s="468"/>
      <c r="H174" s="468"/>
      <c r="I174" s="468"/>
      <c r="J174" s="468"/>
      <c r="K174" s="468"/>
      <c r="L174" s="468"/>
      <c r="M174" s="468"/>
      <c r="N174" s="468"/>
      <c r="O174" s="468"/>
      <c r="P174" s="468"/>
      <c r="Q174" s="468"/>
      <c r="R174" s="468"/>
      <c r="S174" s="468"/>
      <c r="T174" s="468"/>
      <c r="U174" s="468"/>
      <c r="V174" s="468"/>
      <c r="W174" s="468"/>
      <c r="X174" s="468"/>
      <c r="Y174" s="468"/>
      <c r="Z174" s="468"/>
      <c r="AA174" s="468"/>
      <c r="AB174" s="469"/>
      <c r="AC174" s="488" t="s">
        <v>534</v>
      </c>
      <c r="AD174" s="489"/>
      <c r="AE174" s="490"/>
    </row>
    <row r="175" spans="1:31" ht="51" customHeight="1">
      <c r="A175" s="453"/>
      <c r="B175" s="494" t="s">
        <v>535</v>
      </c>
      <c r="C175" s="502"/>
      <c r="D175" s="502"/>
      <c r="E175" s="502"/>
      <c r="F175" s="495"/>
      <c r="G175" s="503" t="s">
        <v>536</v>
      </c>
      <c r="H175" s="504"/>
      <c r="I175" s="504"/>
      <c r="J175" s="504"/>
      <c r="K175" s="504"/>
      <c r="L175" s="504"/>
      <c r="M175" s="504"/>
      <c r="N175" s="504"/>
      <c r="O175" s="504"/>
      <c r="P175" s="505"/>
      <c r="Q175" s="503" t="s">
        <v>537</v>
      </c>
      <c r="R175" s="504"/>
      <c r="S175" s="504"/>
      <c r="T175" s="504"/>
      <c r="U175" s="504"/>
      <c r="V175" s="504"/>
      <c r="W175" s="504"/>
      <c r="X175" s="504"/>
      <c r="Y175" s="504"/>
      <c r="Z175" s="504"/>
      <c r="AA175" s="505"/>
      <c r="AB175" s="453"/>
      <c r="AC175" s="491"/>
      <c r="AD175" s="492"/>
      <c r="AE175" s="493"/>
    </row>
    <row r="176" spans="1:31" ht="15.75" customHeight="1">
      <c r="A176" s="453"/>
      <c r="B176" s="434" t="s">
        <v>538</v>
      </c>
      <c r="C176" s="435"/>
      <c r="D176" s="435"/>
      <c r="E176" s="435"/>
      <c r="F176" s="436"/>
      <c r="G176" s="437">
        <v>0.31</v>
      </c>
      <c r="H176" s="438"/>
      <c r="I176" s="438"/>
      <c r="J176" s="438"/>
      <c r="K176" s="438"/>
      <c r="L176" s="438"/>
      <c r="M176" s="438"/>
      <c r="N176" s="438"/>
      <c r="O176" s="438"/>
      <c r="P176" s="439"/>
      <c r="Q176" s="437">
        <v>0.38</v>
      </c>
      <c r="R176" s="438"/>
      <c r="S176" s="438"/>
      <c r="T176" s="438"/>
      <c r="U176" s="438"/>
      <c r="V176" s="438"/>
      <c r="W176" s="438"/>
      <c r="X176" s="438"/>
      <c r="Y176" s="438"/>
      <c r="Z176" s="438"/>
      <c r="AA176" s="439"/>
      <c r="AB176" s="453"/>
      <c r="AC176" s="491"/>
      <c r="AD176" s="492"/>
      <c r="AE176" s="493"/>
    </row>
    <row r="177" spans="1:31" ht="26.1" customHeight="1">
      <c r="A177" s="453"/>
      <c r="B177" s="434" t="s">
        <v>539</v>
      </c>
      <c r="C177" s="435"/>
      <c r="D177" s="435"/>
      <c r="E177" s="435"/>
      <c r="F177" s="436"/>
      <c r="G177" s="437">
        <v>0.63</v>
      </c>
      <c r="H177" s="438"/>
      <c r="I177" s="438"/>
      <c r="J177" s="438"/>
      <c r="K177" s="438"/>
      <c r="L177" s="438"/>
      <c r="M177" s="438"/>
      <c r="N177" s="438"/>
      <c r="O177" s="438"/>
      <c r="P177" s="439"/>
      <c r="Q177" s="437">
        <v>0.75</v>
      </c>
      <c r="R177" s="438"/>
      <c r="S177" s="438"/>
      <c r="T177" s="438"/>
      <c r="U177" s="438"/>
      <c r="V177" s="438"/>
      <c r="W177" s="438"/>
      <c r="X177" s="438"/>
      <c r="Y177" s="438"/>
      <c r="Z177" s="438"/>
      <c r="AA177" s="439"/>
      <c r="AB177" s="453"/>
      <c r="AC177" s="491"/>
      <c r="AD177" s="492"/>
      <c r="AE177" s="493"/>
    </row>
    <row r="178" spans="1:31" ht="15.75" customHeight="1">
      <c r="A178" s="453"/>
      <c r="B178" s="434" t="s">
        <v>540</v>
      </c>
      <c r="C178" s="435"/>
      <c r="D178" s="435"/>
      <c r="E178" s="435"/>
      <c r="F178" s="436"/>
      <c r="G178" s="437">
        <v>1.57</v>
      </c>
      <c r="H178" s="438"/>
      <c r="I178" s="438"/>
      <c r="J178" s="438"/>
      <c r="K178" s="438"/>
      <c r="L178" s="438"/>
      <c r="M178" s="438"/>
      <c r="N178" s="438"/>
      <c r="O178" s="438"/>
      <c r="P178" s="439"/>
      <c r="Q178" s="437">
        <v>1.5</v>
      </c>
      <c r="R178" s="438"/>
      <c r="S178" s="438"/>
      <c r="T178" s="438"/>
      <c r="U178" s="438"/>
      <c r="V178" s="438"/>
      <c r="W178" s="438"/>
      <c r="X178" s="438"/>
      <c r="Y178" s="438"/>
      <c r="Z178" s="438"/>
      <c r="AA178" s="439"/>
      <c r="AB178" s="453"/>
      <c r="AC178" s="491"/>
      <c r="AD178" s="492"/>
      <c r="AE178" s="493"/>
    </row>
    <row r="179" spans="1:31" ht="26.1" customHeight="1">
      <c r="A179" s="453"/>
      <c r="B179" s="434" t="s">
        <v>541</v>
      </c>
      <c r="C179" s="435"/>
      <c r="D179" s="435"/>
      <c r="E179" s="435"/>
      <c r="F179" s="436"/>
      <c r="G179" s="437">
        <v>1.88</v>
      </c>
      <c r="H179" s="438"/>
      <c r="I179" s="438"/>
      <c r="J179" s="438"/>
      <c r="K179" s="438"/>
      <c r="L179" s="438"/>
      <c r="M179" s="438"/>
      <c r="N179" s="438"/>
      <c r="O179" s="438"/>
      <c r="P179" s="439"/>
      <c r="Q179" s="437">
        <v>1.88</v>
      </c>
      <c r="R179" s="438"/>
      <c r="S179" s="438"/>
      <c r="T179" s="438"/>
      <c r="U179" s="438"/>
      <c r="V179" s="438"/>
      <c r="W179" s="438"/>
      <c r="X179" s="438"/>
      <c r="Y179" s="438"/>
      <c r="Z179" s="438"/>
      <c r="AA179" s="439"/>
      <c r="AB179" s="453"/>
      <c r="AC179" s="491"/>
      <c r="AD179" s="492"/>
      <c r="AE179" s="493"/>
    </row>
    <row r="180" spans="1:31" ht="31.5" customHeight="1">
      <c r="A180" s="453"/>
      <c r="B180" s="485" t="s">
        <v>542</v>
      </c>
      <c r="C180" s="486"/>
      <c r="D180" s="486"/>
      <c r="E180" s="486"/>
      <c r="F180" s="487"/>
      <c r="G180" s="437">
        <v>3.13</v>
      </c>
      <c r="H180" s="438"/>
      <c r="I180" s="438"/>
      <c r="J180" s="438"/>
      <c r="K180" s="438"/>
      <c r="L180" s="438"/>
      <c r="M180" s="438"/>
      <c r="N180" s="438"/>
      <c r="O180" s="438"/>
      <c r="P180" s="439"/>
      <c r="Q180" s="437">
        <v>3.38</v>
      </c>
      <c r="R180" s="438"/>
      <c r="S180" s="438"/>
      <c r="T180" s="438"/>
      <c r="U180" s="438"/>
      <c r="V180" s="438"/>
      <c r="W180" s="438"/>
      <c r="X180" s="438"/>
      <c r="Y180" s="438"/>
      <c r="Z180" s="438"/>
      <c r="AA180" s="439"/>
      <c r="AB180" s="453"/>
      <c r="AC180" s="491"/>
      <c r="AD180" s="492"/>
      <c r="AE180" s="493"/>
    </row>
    <row r="181" spans="1:31" ht="15.75" customHeight="1">
      <c r="A181" s="453"/>
      <c r="B181" s="434" t="s">
        <v>543</v>
      </c>
      <c r="C181" s="435"/>
      <c r="D181" s="435"/>
      <c r="E181" s="435"/>
      <c r="F181" s="436"/>
      <c r="G181" s="437">
        <v>3.45</v>
      </c>
      <c r="H181" s="438"/>
      <c r="I181" s="438"/>
      <c r="J181" s="438"/>
      <c r="K181" s="438"/>
      <c r="L181" s="438"/>
      <c r="M181" s="438"/>
      <c r="N181" s="438"/>
      <c r="O181" s="438"/>
      <c r="P181" s="439"/>
      <c r="Q181" s="437">
        <v>3.76</v>
      </c>
      <c r="R181" s="438"/>
      <c r="S181" s="438"/>
      <c r="T181" s="438"/>
      <c r="U181" s="438"/>
      <c r="V181" s="438"/>
      <c r="W181" s="438"/>
      <c r="X181" s="438"/>
      <c r="Y181" s="438"/>
      <c r="Z181" s="438"/>
      <c r="AA181" s="439"/>
      <c r="AB181" s="453"/>
      <c r="AC181" s="491"/>
      <c r="AD181" s="492"/>
      <c r="AE181" s="493"/>
    </row>
    <row r="182" spans="1:31" ht="15.75" customHeight="1">
      <c r="A182" s="453"/>
      <c r="B182" s="434" t="s">
        <v>544</v>
      </c>
      <c r="C182" s="435"/>
      <c r="D182" s="435"/>
      <c r="E182" s="435"/>
      <c r="F182" s="436"/>
      <c r="G182" s="437">
        <v>5.01</v>
      </c>
      <c r="H182" s="438"/>
      <c r="I182" s="438"/>
      <c r="J182" s="438"/>
      <c r="K182" s="438"/>
      <c r="L182" s="438"/>
      <c r="M182" s="438"/>
      <c r="N182" s="438"/>
      <c r="O182" s="438"/>
      <c r="P182" s="439"/>
      <c r="Q182" s="437">
        <v>3.76</v>
      </c>
      <c r="R182" s="438"/>
      <c r="S182" s="438"/>
      <c r="T182" s="438"/>
      <c r="U182" s="438"/>
      <c r="V182" s="438"/>
      <c r="W182" s="438"/>
      <c r="X182" s="438"/>
      <c r="Y182" s="438"/>
      <c r="Z182" s="438"/>
      <c r="AA182" s="439"/>
      <c r="AB182" s="453"/>
      <c r="AC182" s="491"/>
      <c r="AD182" s="492"/>
      <c r="AE182" s="493"/>
    </row>
    <row r="183" spans="1:31" ht="15.75" customHeight="1">
      <c r="A183" s="453"/>
      <c r="B183" s="434" t="s">
        <v>545</v>
      </c>
      <c r="C183" s="435"/>
      <c r="D183" s="435"/>
      <c r="E183" s="435"/>
      <c r="F183" s="436"/>
      <c r="G183" s="437">
        <v>3.45</v>
      </c>
      <c r="H183" s="438"/>
      <c r="I183" s="438"/>
      <c r="J183" s="438"/>
      <c r="K183" s="438"/>
      <c r="L183" s="438"/>
      <c r="M183" s="438"/>
      <c r="N183" s="438"/>
      <c r="O183" s="438"/>
      <c r="P183" s="439"/>
      <c r="Q183" s="437">
        <v>3.76</v>
      </c>
      <c r="R183" s="438"/>
      <c r="S183" s="438"/>
      <c r="T183" s="438"/>
      <c r="U183" s="438"/>
      <c r="V183" s="438"/>
      <c r="W183" s="438"/>
      <c r="X183" s="438"/>
      <c r="Y183" s="438"/>
      <c r="Z183" s="438"/>
      <c r="AA183" s="439"/>
      <c r="AB183" s="453"/>
      <c r="AC183" s="491"/>
      <c r="AD183" s="492"/>
      <c r="AE183" s="493"/>
    </row>
    <row r="184" spans="1:31" ht="279" customHeight="1">
      <c r="A184" s="464" t="s">
        <v>546</v>
      </c>
      <c r="B184" s="465"/>
      <c r="C184" s="465"/>
      <c r="D184" s="465"/>
      <c r="E184" s="465"/>
      <c r="F184" s="465"/>
      <c r="G184" s="465"/>
      <c r="H184" s="465"/>
      <c r="I184" s="465"/>
      <c r="J184" s="465"/>
      <c r="K184" s="465"/>
      <c r="L184" s="465"/>
      <c r="M184" s="465"/>
      <c r="N184" s="465"/>
      <c r="O184" s="465"/>
      <c r="P184" s="465"/>
      <c r="Q184" s="465"/>
      <c r="R184" s="465"/>
      <c r="S184" s="465"/>
      <c r="T184" s="465"/>
      <c r="U184" s="465"/>
      <c r="V184" s="465"/>
      <c r="W184" s="465"/>
      <c r="X184" s="465"/>
      <c r="Y184" s="465"/>
      <c r="Z184" s="465"/>
      <c r="AA184" s="465"/>
      <c r="AB184" s="466"/>
      <c r="AC184" s="464"/>
      <c r="AD184" s="465"/>
      <c r="AE184" s="466"/>
    </row>
    <row r="185" spans="1:31" ht="16.5" customHeight="1">
      <c r="A185" s="446" t="s">
        <v>411</v>
      </c>
      <c r="B185" s="447"/>
      <c r="C185" s="447"/>
      <c r="D185" s="447"/>
      <c r="E185" s="447"/>
      <c r="F185" s="447"/>
      <c r="G185" s="447"/>
      <c r="H185" s="447"/>
      <c r="I185" s="447"/>
      <c r="J185" s="447"/>
      <c r="K185" s="447"/>
      <c r="L185" s="447"/>
      <c r="M185" s="447"/>
      <c r="N185" s="447"/>
      <c r="O185" s="447"/>
      <c r="P185" s="447"/>
      <c r="Q185" s="447"/>
      <c r="R185" s="447"/>
      <c r="S185" s="447"/>
      <c r="T185" s="447"/>
      <c r="U185" s="447"/>
      <c r="V185" s="448"/>
      <c r="W185" s="446" t="s">
        <v>412</v>
      </c>
      <c r="X185" s="447"/>
      <c r="Y185" s="447"/>
      <c r="Z185" s="447"/>
      <c r="AA185" s="447"/>
      <c r="AB185" s="447"/>
      <c r="AC185" s="447"/>
      <c r="AD185" s="447"/>
      <c r="AE185" s="448"/>
    </row>
    <row r="186" spans="1:31" ht="12.95" customHeight="1">
      <c r="A186" s="467"/>
      <c r="B186" s="468"/>
      <c r="C186" s="468"/>
      <c r="D186" s="468"/>
      <c r="E186" s="468"/>
      <c r="F186" s="468"/>
      <c r="G186" s="468"/>
      <c r="H186" s="468"/>
      <c r="I186" s="468"/>
      <c r="J186" s="468"/>
      <c r="K186" s="468"/>
      <c r="L186" s="468"/>
      <c r="M186" s="468"/>
      <c r="N186" s="468"/>
      <c r="O186" s="468"/>
      <c r="P186" s="468"/>
      <c r="Q186" s="468"/>
      <c r="R186" s="468"/>
      <c r="S186" s="468"/>
      <c r="T186" s="468"/>
      <c r="U186" s="468"/>
      <c r="V186" s="469"/>
      <c r="W186" s="488" t="s">
        <v>547</v>
      </c>
      <c r="X186" s="489"/>
      <c r="Y186" s="489"/>
      <c r="Z186" s="489"/>
      <c r="AA186" s="489"/>
      <c r="AB186" s="489"/>
      <c r="AC186" s="489"/>
      <c r="AD186" s="489"/>
      <c r="AE186" s="490"/>
    </row>
    <row r="187" spans="1:31" ht="38.1" customHeight="1">
      <c r="A187" s="453"/>
      <c r="B187" s="494" t="s">
        <v>548</v>
      </c>
      <c r="C187" s="495"/>
      <c r="D187" s="496" t="s">
        <v>549</v>
      </c>
      <c r="E187" s="497"/>
      <c r="F187" s="497"/>
      <c r="G187" s="498"/>
      <c r="H187" s="499" t="s">
        <v>550</v>
      </c>
      <c r="I187" s="500"/>
      <c r="J187" s="500"/>
      <c r="K187" s="500"/>
      <c r="L187" s="500"/>
      <c r="M187" s="500"/>
      <c r="N187" s="500"/>
      <c r="O187" s="500"/>
      <c r="P187" s="500"/>
      <c r="Q187" s="500"/>
      <c r="R187" s="500"/>
      <c r="S187" s="500"/>
      <c r="T187" s="501"/>
      <c r="U187" s="491"/>
      <c r="V187" s="493"/>
      <c r="W187" s="491"/>
      <c r="X187" s="492"/>
      <c r="Y187" s="492"/>
      <c r="Z187" s="492"/>
      <c r="AA187" s="492"/>
      <c r="AB187" s="492"/>
      <c r="AC187" s="492"/>
      <c r="AD187" s="492"/>
      <c r="AE187" s="493"/>
    </row>
    <row r="188" spans="1:31" ht="15.75" customHeight="1">
      <c r="A188" s="453"/>
      <c r="B188" s="434" t="s">
        <v>551</v>
      </c>
      <c r="C188" s="436"/>
      <c r="D188" s="482" t="s">
        <v>552</v>
      </c>
      <c r="E188" s="483"/>
      <c r="F188" s="483"/>
      <c r="G188" s="484"/>
      <c r="H188" s="437">
        <v>7.2</v>
      </c>
      <c r="I188" s="438"/>
      <c r="J188" s="438"/>
      <c r="K188" s="438"/>
      <c r="L188" s="438"/>
      <c r="M188" s="438"/>
      <c r="N188" s="438"/>
      <c r="O188" s="438"/>
      <c r="P188" s="438"/>
      <c r="Q188" s="438"/>
      <c r="R188" s="438"/>
      <c r="S188" s="438"/>
      <c r="T188" s="439"/>
      <c r="U188" s="491"/>
      <c r="V188" s="493"/>
      <c r="W188" s="491"/>
      <c r="X188" s="492"/>
      <c r="Y188" s="492"/>
      <c r="Z188" s="492"/>
      <c r="AA188" s="492"/>
      <c r="AB188" s="492"/>
      <c r="AC188" s="492"/>
      <c r="AD188" s="492"/>
      <c r="AE188" s="493"/>
    </row>
    <row r="189" spans="1:31" ht="15.75" customHeight="1">
      <c r="A189" s="453"/>
      <c r="B189" s="434" t="s">
        <v>553</v>
      </c>
      <c r="C189" s="436"/>
      <c r="D189" s="482" t="s">
        <v>554</v>
      </c>
      <c r="E189" s="483"/>
      <c r="F189" s="483"/>
      <c r="G189" s="484"/>
      <c r="H189" s="437">
        <v>6.42</v>
      </c>
      <c r="I189" s="438"/>
      <c r="J189" s="438"/>
      <c r="K189" s="438"/>
      <c r="L189" s="438"/>
      <c r="M189" s="438"/>
      <c r="N189" s="438"/>
      <c r="O189" s="438"/>
      <c r="P189" s="438"/>
      <c r="Q189" s="438"/>
      <c r="R189" s="438"/>
      <c r="S189" s="438"/>
      <c r="T189" s="439"/>
      <c r="U189" s="491"/>
      <c r="V189" s="493"/>
      <c r="W189" s="491"/>
      <c r="X189" s="492"/>
      <c r="Y189" s="492"/>
      <c r="Z189" s="492"/>
      <c r="AA189" s="492"/>
      <c r="AB189" s="492"/>
      <c r="AC189" s="492"/>
      <c r="AD189" s="492"/>
      <c r="AE189" s="493"/>
    </row>
    <row r="190" spans="1:31" ht="397.7" customHeight="1">
      <c r="A190" s="464" t="s">
        <v>555</v>
      </c>
      <c r="B190" s="465"/>
      <c r="C190" s="465"/>
      <c r="D190" s="465"/>
      <c r="E190" s="465"/>
      <c r="F190" s="465"/>
      <c r="G190" s="465"/>
      <c r="H190" s="465"/>
      <c r="I190" s="465"/>
      <c r="J190" s="465"/>
      <c r="K190" s="465"/>
      <c r="L190" s="465"/>
      <c r="M190" s="465"/>
      <c r="N190" s="465"/>
      <c r="O190" s="465"/>
      <c r="P190" s="465"/>
      <c r="Q190" s="465"/>
      <c r="R190" s="465"/>
      <c r="S190" s="465"/>
      <c r="T190" s="465"/>
      <c r="U190" s="465"/>
      <c r="V190" s="466"/>
      <c r="W190" s="464"/>
      <c r="X190" s="465"/>
      <c r="Y190" s="465"/>
      <c r="Z190" s="465"/>
      <c r="AA190" s="465"/>
      <c r="AB190" s="465"/>
      <c r="AC190" s="465"/>
      <c r="AD190" s="465"/>
      <c r="AE190" s="466"/>
    </row>
    <row r="191" spans="1:31" ht="27" customHeight="1">
      <c r="A191" s="446" t="s">
        <v>411</v>
      </c>
      <c r="B191" s="447"/>
      <c r="C191" s="447"/>
      <c r="D191" s="447"/>
      <c r="E191" s="447"/>
      <c r="F191" s="447"/>
      <c r="G191" s="447"/>
      <c r="H191" s="447"/>
      <c r="I191" s="447"/>
      <c r="J191" s="447"/>
      <c r="K191" s="447"/>
      <c r="L191" s="447"/>
      <c r="M191" s="447"/>
      <c r="N191" s="447"/>
      <c r="O191" s="447"/>
      <c r="P191" s="447"/>
      <c r="Q191" s="447"/>
      <c r="R191" s="447"/>
      <c r="S191" s="447"/>
      <c r="T191" s="447"/>
      <c r="U191" s="447"/>
      <c r="V191" s="447"/>
      <c r="W191" s="447"/>
      <c r="X191" s="447"/>
      <c r="Y191" s="447"/>
      <c r="Z191" s="447"/>
      <c r="AA191" s="447"/>
      <c r="AB191" s="447"/>
      <c r="AC191" s="447"/>
      <c r="AD191" s="448"/>
      <c r="AE191" s="25" t="s">
        <v>412</v>
      </c>
    </row>
    <row r="192" spans="1:31" ht="12.95" customHeight="1">
      <c r="A192" s="449"/>
      <c r="B192" s="450"/>
      <c r="C192" s="450"/>
      <c r="D192" s="450"/>
      <c r="E192" s="450"/>
      <c r="F192" s="450"/>
      <c r="G192" s="450"/>
      <c r="H192" s="450"/>
      <c r="I192" s="450"/>
      <c r="J192" s="450"/>
      <c r="K192" s="450"/>
      <c r="L192" s="450"/>
      <c r="M192" s="450"/>
      <c r="N192" s="450"/>
      <c r="O192" s="450"/>
      <c r="P192" s="450"/>
      <c r="Q192" s="450"/>
      <c r="R192" s="450"/>
      <c r="S192" s="450"/>
      <c r="T192" s="450"/>
      <c r="U192" s="450"/>
      <c r="V192" s="450"/>
      <c r="W192" s="450"/>
      <c r="X192" s="450"/>
      <c r="Y192" s="450"/>
      <c r="Z192" s="450"/>
      <c r="AA192" s="450"/>
      <c r="AB192" s="450"/>
      <c r="AC192" s="450"/>
      <c r="AD192" s="451"/>
      <c r="AE192" s="452" t="s">
        <v>556</v>
      </c>
    </row>
    <row r="193" spans="1:31" ht="15.75" customHeight="1">
      <c r="A193" s="453"/>
      <c r="B193" s="455" t="s">
        <v>557</v>
      </c>
      <c r="C193" s="456"/>
      <c r="D193" s="456"/>
      <c r="E193" s="456"/>
      <c r="F193" s="456"/>
      <c r="G193" s="456"/>
      <c r="H193" s="456"/>
      <c r="I193" s="456"/>
      <c r="J193" s="457"/>
      <c r="K193" s="458" t="s">
        <v>558</v>
      </c>
      <c r="L193" s="459"/>
      <c r="M193" s="459"/>
      <c r="N193" s="459"/>
      <c r="O193" s="459"/>
      <c r="P193" s="459"/>
      <c r="Q193" s="459"/>
      <c r="R193" s="459"/>
      <c r="S193" s="459"/>
      <c r="T193" s="459"/>
      <c r="U193" s="459"/>
      <c r="V193" s="459"/>
      <c r="W193" s="459"/>
      <c r="X193" s="459"/>
      <c r="Y193" s="459"/>
      <c r="Z193" s="459"/>
      <c r="AA193" s="459"/>
      <c r="AB193" s="459"/>
      <c r="AC193" s="460"/>
      <c r="AD193" s="453"/>
      <c r="AE193" s="453"/>
    </row>
    <row r="194" spans="1:31" ht="15.75" customHeight="1">
      <c r="A194" s="453"/>
      <c r="B194" s="470"/>
      <c r="C194" s="471"/>
      <c r="D194" s="471"/>
      <c r="E194" s="471"/>
      <c r="F194" s="471"/>
      <c r="G194" s="471"/>
      <c r="H194" s="471"/>
      <c r="I194" s="471"/>
      <c r="J194" s="472"/>
      <c r="K194" s="473" t="s">
        <v>559</v>
      </c>
      <c r="L194" s="474"/>
      <c r="M194" s="474"/>
      <c r="N194" s="474"/>
      <c r="O194" s="474"/>
      <c r="P194" s="474"/>
      <c r="Q194" s="474"/>
      <c r="R194" s="474"/>
      <c r="S194" s="474"/>
      <c r="T194" s="474"/>
      <c r="U194" s="474"/>
      <c r="V194" s="474"/>
      <c r="W194" s="474"/>
      <c r="X194" s="474"/>
      <c r="Y194" s="474"/>
      <c r="Z194" s="474"/>
      <c r="AA194" s="474"/>
      <c r="AB194" s="474"/>
      <c r="AC194" s="475"/>
      <c r="AD194" s="453"/>
      <c r="AE194" s="453"/>
    </row>
    <row r="195" spans="1:31" ht="15.75" customHeight="1">
      <c r="A195" s="453"/>
      <c r="B195" s="476"/>
      <c r="C195" s="477"/>
      <c r="D195" s="477"/>
      <c r="E195" s="477"/>
      <c r="F195" s="477"/>
      <c r="G195" s="477"/>
      <c r="H195" s="477"/>
      <c r="I195" s="477"/>
      <c r="J195" s="478"/>
      <c r="K195" s="479" t="s">
        <v>560</v>
      </c>
      <c r="L195" s="480"/>
      <c r="M195" s="480"/>
      <c r="N195" s="480"/>
      <c r="O195" s="481"/>
      <c r="P195" s="479" t="s">
        <v>561</v>
      </c>
      <c r="Q195" s="480"/>
      <c r="R195" s="480"/>
      <c r="S195" s="480"/>
      <c r="T195" s="480"/>
      <c r="U195" s="480"/>
      <c r="V195" s="480"/>
      <c r="W195" s="480"/>
      <c r="X195" s="480"/>
      <c r="Y195" s="480"/>
      <c r="Z195" s="481"/>
      <c r="AA195" s="479" t="s">
        <v>562</v>
      </c>
      <c r="AB195" s="480"/>
      <c r="AC195" s="481"/>
      <c r="AD195" s="453"/>
      <c r="AE195" s="453"/>
    </row>
    <row r="196" spans="1:31" ht="15.75" customHeight="1">
      <c r="A196" s="453"/>
      <c r="B196" s="434" t="s">
        <v>563</v>
      </c>
      <c r="C196" s="435"/>
      <c r="D196" s="435"/>
      <c r="E196" s="435"/>
      <c r="F196" s="435"/>
      <c r="G196" s="435"/>
      <c r="H196" s="435"/>
      <c r="I196" s="435"/>
      <c r="J196" s="436"/>
      <c r="K196" s="437">
        <v>0.13</v>
      </c>
      <c r="L196" s="438"/>
      <c r="M196" s="438"/>
      <c r="N196" s="438"/>
      <c r="O196" s="439"/>
      <c r="P196" s="437">
        <v>1.8E-3</v>
      </c>
      <c r="Q196" s="438"/>
      <c r="R196" s="438"/>
      <c r="S196" s="438"/>
      <c r="T196" s="438"/>
      <c r="U196" s="438"/>
      <c r="V196" s="438"/>
      <c r="W196" s="438"/>
      <c r="X196" s="438"/>
      <c r="Y196" s="438"/>
      <c r="Z196" s="439"/>
      <c r="AA196" s="437">
        <v>1.4999999999999999E-2</v>
      </c>
      <c r="AB196" s="438"/>
      <c r="AC196" s="439"/>
      <c r="AD196" s="453"/>
      <c r="AE196" s="453"/>
    </row>
    <row r="197" spans="1:31" ht="15.75" customHeight="1">
      <c r="A197" s="453"/>
      <c r="B197" s="434" t="s">
        <v>564</v>
      </c>
      <c r="C197" s="435"/>
      <c r="D197" s="435"/>
      <c r="E197" s="435"/>
      <c r="F197" s="435"/>
      <c r="G197" s="435"/>
      <c r="H197" s="435"/>
      <c r="I197" s="435"/>
      <c r="J197" s="436"/>
      <c r="K197" s="437">
        <v>2.8000000000000001E-2</v>
      </c>
      <c r="L197" s="438"/>
      <c r="M197" s="438"/>
      <c r="N197" s="438"/>
      <c r="O197" s="439"/>
      <c r="P197" s="437">
        <v>2.0000000000000001E-4</v>
      </c>
      <c r="Q197" s="438"/>
      <c r="R197" s="438"/>
      <c r="S197" s="438"/>
      <c r="T197" s="438"/>
      <c r="U197" s="438"/>
      <c r="V197" s="438"/>
      <c r="W197" s="438"/>
      <c r="X197" s="438"/>
      <c r="Y197" s="438"/>
      <c r="Z197" s="439"/>
      <c r="AA197" s="437">
        <v>0.08</v>
      </c>
      <c r="AB197" s="438"/>
      <c r="AC197" s="439"/>
      <c r="AD197" s="453"/>
      <c r="AE197" s="453"/>
    </row>
    <row r="198" spans="1:31" ht="15.75" customHeight="1">
      <c r="A198" s="453"/>
      <c r="B198" s="440" t="s">
        <v>565</v>
      </c>
      <c r="C198" s="441"/>
      <c r="D198" s="441"/>
      <c r="E198" s="441"/>
      <c r="F198" s="441"/>
      <c r="G198" s="441"/>
      <c r="H198" s="441"/>
      <c r="I198" s="441"/>
      <c r="J198" s="442"/>
      <c r="K198" s="443">
        <v>0.109</v>
      </c>
      <c r="L198" s="444"/>
      <c r="M198" s="444"/>
      <c r="N198" s="444"/>
      <c r="O198" s="445"/>
      <c r="P198" s="443">
        <v>1E-3</v>
      </c>
      <c r="Q198" s="444"/>
      <c r="R198" s="444"/>
      <c r="S198" s="444"/>
      <c r="T198" s="444"/>
      <c r="U198" s="444"/>
      <c r="V198" s="444"/>
      <c r="W198" s="444"/>
      <c r="X198" s="444"/>
      <c r="Y198" s="444"/>
      <c r="Z198" s="445"/>
      <c r="AA198" s="443">
        <v>3.3000000000000002E-2</v>
      </c>
      <c r="AB198" s="444"/>
      <c r="AC198" s="445"/>
      <c r="AD198" s="453"/>
      <c r="AE198" s="453"/>
    </row>
    <row r="199" spans="1:31" ht="15.75" customHeight="1">
      <c r="A199" s="453"/>
      <c r="B199" s="431" t="s">
        <v>566</v>
      </c>
      <c r="C199" s="432"/>
      <c r="D199" s="432"/>
      <c r="E199" s="432"/>
      <c r="F199" s="432"/>
      <c r="G199" s="432"/>
      <c r="H199" s="432"/>
      <c r="I199" s="432"/>
      <c r="J199" s="433"/>
      <c r="K199" s="461"/>
      <c r="L199" s="462"/>
      <c r="M199" s="462"/>
      <c r="N199" s="462"/>
      <c r="O199" s="463"/>
      <c r="P199" s="461"/>
      <c r="Q199" s="462"/>
      <c r="R199" s="462"/>
      <c r="S199" s="462"/>
      <c r="T199" s="462"/>
      <c r="U199" s="462"/>
      <c r="V199" s="462"/>
      <c r="W199" s="462"/>
      <c r="X199" s="462"/>
      <c r="Y199" s="462"/>
      <c r="Z199" s="463"/>
      <c r="AA199" s="461"/>
      <c r="AB199" s="462"/>
      <c r="AC199" s="463"/>
      <c r="AD199" s="453"/>
      <c r="AE199" s="453"/>
    </row>
    <row r="200" spans="1:31" ht="15.75" customHeight="1">
      <c r="A200" s="453"/>
      <c r="B200" s="434" t="s">
        <v>567</v>
      </c>
      <c r="C200" s="435"/>
      <c r="D200" s="435"/>
      <c r="E200" s="435"/>
      <c r="F200" s="435"/>
      <c r="G200" s="435"/>
      <c r="H200" s="435"/>
      <c r="I200" s="435"/>
      <c r="J200" s="436"/>
      <c r="K200" s="437">
        <v>0.32400000000000001</v>
      </c>
      <c r="L200" s="438"/>
      <c r="M200" s="438"/>
      <c r="N200" s="438"/>
      <c r="O200" s="439"/>
      <c r="P200" s="437">
        <v>4.1099999999999998E-2</v>
      </c>
      <c r="Q200" s="438"/>
      <c r="R200" s="438"/>
      <c r="S200" s="438"/>
      <c r="T200" s="438"/>
      <c r="U200" s="438"/>
      <c r="V200" s="438"/>
      <c r="W200" s="438"/>
      <c r="X200" s="438"/>
      <c r="Y200" s="438"/>
      <c r="Z200" s="439"/>
      <c r="AA200" s="437">
        <v>1.4E-2</v>
      </c>
      <c r="AB200" s="438"/>
      <c r="AC200" s="439"/>
      <c r="AD200" s="453"/>
      <c r="AE200" s="453"/>
    </row>
    <row r="201" spans="1:31" ht="15.75" customHeight="1">
      <c r="A201" s="453"/>
      <c r="B201" s="434" t="s">
        <v>568</v>
      </c>
      <c r="C201" s="435"/>
      <c r="D201" s="435"/>
      <c r="E201" s="435"/>
      <c r="F201" s="435"/>
      <c r="G201" s="435"/>
      <c r="H201" s="435"/>
      <c r="I201" s="435"/>
      <c r="J201" s="436"/>
      <c r="K201" s="437">
        <v>7.0000000000000007E-2</v>
      </c>
      <c r="L201" s="438"/>
      <c r="M201" s="438"/>
      <c r="N201" s="438"/>
      <c r="O201" s="439"/>
      <c r="P201" s="437">
        <v>3.3999999999999998E-3</v>
      </c>
      <c r="Q201" s="438"/>
      <c r="R201" s="438"/>
      <c r="S201" s="438"/>
      <c r="T201" s="438"/>
      <c r="U201" s="438"/>
      <c r="V201" s="438"/>
      <c r="W201" s="438"/>
      <c r="X201" s="438"/>
      <c r="Y201" s="438"/>
      <c r="Z201" s="439"/>
      <c r="AA201" s="437">
        <v>2.1999999999999999E-2</v>
      </c>
      <c r="AB201" s="438"/>
      <c r="AC201" s="439"/>
      <c r="AD201" s="453"/>
      <c r="AE201" s="453"/>
    </row>
    <row r="202" spans="1:31" ht="15.75" customHeight="1">
      <c r="A202" s="453"/>
      <c r="B202" s="440" t="s">
        <v>569</v>
      </c>
      <c r="C202" s="441"/>
      <c r="D202" s="441"/>
      <c r="E202" s="441"/>
      <c r="F202" s="441"/>
      <c r="G202" s="441"/>
      <c r="H202" s="441"/>
      <c r="I202" s="441"/>
      <c r="J202" s="442"/>
      <c r="K202" s="443">
        <v>0.222</v>
      </c>
      <c r="L202" s="444"/>
      <c r="M202" s="444"/>
      <c r="N202" s="444"/>
      <c r="O202" s="445"/>
      <c r="P202" s="443">
        <v>2.07E-2</v>
      </c>
      <c r="Q202" s="444"/>
      <c r="R202" s="444"/>
      <c r="S202" s="444"/>
      <c r="T202" s="444"/>
      <c r="U202" s="444"/>
      <c r="V202" s="444"/>
      <c r="W202" s="444"/>
      <c r="X202" s="444"/>
      <c r="Y202" s="444"/>
      <c r="Z202" s="445"/>
      <c r="AA202" s="443">
        <v>1.7999999999999999E-2</v>
      </c>
      <c r="AB202" s="444"/>
      <c r="AC202" s="445"/>
      <c r="AD202" s="453"/>
      <c r="AE202" s="453"/>
    </row>
    <row r="203" spans="1:31" ht="15.75" customHeight="1">
      <c r="A203" s="453"/>
      <c r="B203" s="431" t="s">
        <v>566</v>
      </c>
      <c r="C203" s="432"/>
      <c r="D203" s="432"/>
      <c r="E203" s="432"/>
      <c r="F203" s="432"/>
      <c r="G203" s="432"/>
      <c r="H203" s="432"/>
      <c r="I203" s="432"/>
      <c r="J203" s="433"/>
      <c r="K203" s="461"/>
      <c r="L203" s="462"/>
      <c r="M203" s="462"/>
      <c r="N203" s="462"/>
      <c r="O203" s="463"/>
      <c r="P203" s="461"/>
      <c r="Q203" s="462"/>
      <c r="R203" s="462"/>
      <c r="S203" s="462"/>
      <c r="T203" s="462"/>
      <c r="U203" s="462"/>
      <c r="V203" s="462"/>
      <c r="W203" s="462"/>
      <c r="X203" s="462"/>
      <c r="Y203" s="462"/>
      <c r="Z203" s="463"/>
      <c r="AA203" s="461"/>
      <c r="AB203" s="462"/>
      <c r="AC203" s="463"/>
      <c r="AD203" s="453"/>
      <c r="AE203" s="453"/>
    </row>
    <row r="204" spans="1:31" ht="15.75" customHeight="1">
      <c r="A204" s="453"/>
      <c r="B204" s="434" t="s">
        <v>570</v>
      </c>
      <c r="C204" s="435"/>
      <c r="D204" s="435"/>
      <c r="E204" s="435"/>
      <c r="F204" s="435"/>
      <c r="G204" s="435"/>
      <c r="H204" s="435"/>
      <c r="I204" s="435"/>
      <c r="J204" s="436"/>
      <c r="K204" s="437">
        <v>0.14399999999999999</v>
      </c>
      <c r="L204" s="438"/>
      <c r="M204" s="438"/>
      <c r="N204" s="438"/>
      <c r="O204" s="439"/>
      <c r="P204" s="437">
        <v>4.7999999999999996E-3</v>
      </c>
      <c r="Q204" s="438"/>
      <c r="R204" s="438"/>
      <c r="S204" s="438"/>
      <c r="T204" s="438"/>
      <c r="U204" s="438"/>
      <c r="V204" s="438"/>
      <c r="W204" s="438"/>
      <c r="X204" s="438"/>
      <c r="Y204" s="438"/>
      <c r="Z204" s="439"/>
      <c r="AA204" s="437">
        <v>1.4999999999999999E-2</v>
      </c>
      <c r="AB204" s="438"/>
      <c r="AC204" s="439"/>
      <c r="AD204" s="453"/>
      <c r="AE204" s="453"/>
    </row>
    <row r="205" spans="1:31" ht="15.75" customHeight="1">
      <c r="A205" s="453"/>
      <c r="B205" s="434" t="s">
        <v>571</v>
      </c>
      <c r="C205" s="435"/>
      <c r="D205" s="435"/>
      <c r="E205" s="435"/>
      <c r="F205" s="435"/>
      <c r="G205" s="435"/>
      <c r="H205" s="435"/>
      <c r="I205" s="435"/>
      <c r="J205" s="436"/>
      <c r="K205" s="437">
        <v>3.4000000000000002E-2</v>
      </c>
      <c r="L205" s="438"/>
      <c r="M205" s="438"/>
      <c r="N205" s="438"/>
      <c r="O205" s="439"/>
      <c r="P205" s="437">
        <v>6.9999999999999999E-4</v>
      </c>
      <c r="Q205" s="438"/>
      <c r="R205" s="438"/>
      <c r="S205" s="438"/>
      <c r="T205" s="438"/>
      <c r="U205" s="438"/>
      <c r="V205" s="438"/>
      <c r="W205" s="438"/>
      <c r="X205" s="438"/>
      <c r="Y205" s="438"/>
      <c r="Z205" s="439"/>
      <c r="AA205" s="437">
        <v>7.0999999999999994E-2</v>
      </c>
      <c r="AB205" s="438"/>
      <c r="AC205" s="439"/>
      <c r="AD205" s="453"/>
      <c r="AE205" s="453"/>
    </row>
    <row r="206" spans="1:31" ht="15.75" customHeight="1">
      <c r="A206" s="453"/>
      <c r="B206" s="434" t="s">
        <v>572</v>
      </c>
      <c r="C206" s="435"/>
      <c r="D206" s="435"/>
      <c r="E206" s="435"/>
      <c r="F206" s="435"/>
      <c r="G206" s="435"/>
      <c r="H206" s="435"/>
      <c r="I206" s="435"/>
      <c r="J206" s="436"/>
      <c r="K206" s="437">
        <v>0.12</v>
      </c>
      <c r="L206" s="438"/>
      <c r="M206" s="438"/>
      <c r="N206" s="438"/>
      <c r="O206" s="439"/>
      <c r="P206" s="437">
        <v>2.8999999999999998E-3</v>
      </c>
      <c r="Q206" s="438"/>
      <c r="R206" s="438"/>
      <c r="S206" s="438"/>
      <c r="T206" s="438"/>
      <c r="U206" s="438"/>
      <c r="V206" s="438"/>
      <c r="W206" s="438"/>
      <c r="X206" s="438"/>
      <c r="Y206" s="438"/>
      <c r="Z206" s="439"/>
      <c r="AA206" s="437">
        <v>3.2000000000000001E-2</v>
      </c>
      <c r="AB206" s="438"/>
      <c r="AC206" s="439"/>
      <c r="AD206" s="453"/>
      <c r="AE206" s="453"/>
    </row>
    <row r="207" spans="1:31" ht="31.5" customHeight="1">
      <c r="A207" s="425" t="s">
        <v>573</v>
      </c>
      <c r="B207" s="426"/>
      <c r="C207" s="426"/>
      <c r="D207" s="426"/>
      <c r="E207" s="426"/>
      <c r="F207" s="426"/>
      <c r="G207" s="426"/>
      <c r="H207" s="426"/>
      <c r="I207" s="426"/>
      <c r="J207" s="426"/>
      <c r="K207" s="426"/>
      <c r="L207" s="426"/>
      <c r="M207" s="426"/>
      <c r="N207" s="426"/>
      <c r="O207" s="426"/>
      <c r="P207" s="426"/>
      <c r="Q207" s="426"/>
      <c r="R207" s="426"/>
      <c r="S207" s="426"/>
      <c r="T207" s="426"/>
      <c r="U207" s="426"/>
      <c r="V207" s="426"/>
      <c r="W207" s="426"/>
      <c r="X207" s="426"/>
      <c r="Y207" s="426"/>
      <c r="Z207" s="426"/>
      <c r="AA207" s="426"/>
      <c r="AB207" s="426"/>
      <c r="AC207" s="426"/>
      <c r="AD207" s="427"/>
      <c r="AE207" s="453"/>
    </row>
    <row r="208" spans="1:31" ht="15.75" customHeight="1">
      <c r="A208" s="428" t="s">
        <v>574</v>
      </c>
      <c r="B208" s="429"/>
      <c r="C208" s="429"/>
      <c r="D208" s="429"/>
      <c r="E208" s="429"/>
      <c r="F208" s="429"/>
      <c r="G208" s="429"/>
      <c r="H208" s="429"/>
      <c r="I208" s="429"/>
      <c r="J208" s="429"/>
      <c r="K208" s="429"/>
      <c r="L208" s="429"/>
      <c r="M208" s="429"/>
      <c r="N208" s="429"/>
      <c r="O208" s="429"/>
      <c r="P208" s="429"/>
      <c r="Q208" s="429"/>
      <c r="R208" s="429"/>
      <c r="S208" s="429"/>
      <c r="T208" s="429"/>
      <c r="U208" s="429"/>
      <c r="V208" s="429"/>
      <c r="W208" s="429"/>
      <c r="X208" s="429"/>
      <c r="Y208" s="429"/>
      <c r="Z208" s="429"/>
      <c r="AA208" s="429"/>
      <c r="AB208" s="429"/>
      <c r="AC208" s="429"/>
      <c r="AD208" s="430"/>
      <c r="AE208" s="453"/>
    </row>
    <row r="209" spans="1:31" ht="15.75" customHeight="1">
      <c r="A209" s="428" t="s">
        <v>575</v>
      </c>
      <c r="B209" s="429"/>
      <c r="C209" s="429"/>
      <c r="D209" s="429"/>
      <c r="E209" s="429"/>
      <c r="F209" s="429"/>
      <c r="G209" s="429"/>
      <c r="H209" s="429"/>
      <c r="I209" s="429"/>
      <c r="J209" s="429"/>
      <c r="K209" s="429"/>
      <c r="L209" s="429"/>
      <c r="M209" s="429"/>
      <c r="N209" s="429"/>
      <c r="O209" s="429"/>
      <c r="P209" s="429"/>
      <c r="Q209" s="429"/>
      <c r="R209" s="429"/>
      <c r="S209" s="429"/>
      <c r="T209" s="429"/>
      <c r="U209" s="429"/>
      <c r="V209" s="429"/>
      <c r="W209" s="429"/>
      <c r="X209" s="429"/>
      <c r="Y209" s="429"/>
      <c r="Z209" s="429"/>
      <c r="AA209" s="429"/>
      <c r="AB209" s="429"/>
      <c r="AC209" s="429"/>
      <c r="AD209" s="430"/>
      <c r="AE209" s="453"/>
    </row>
    <row r="210" spans="1:31" ht="55.5" customHeight="1">
      <c r="A210" s="431" t="s">
        <v>576</v>
      </c>
      <c r="B210" s="432"/>
      <c r="C210" s="432"/>
      <c r="D210" s="432"/>
      <c r="E210" s="432"/>
      <c r="F210" s="432"/>
      <c r="G210" s="432"/>
      <c r="H210" s="432"/>
      <c r="I210" s="432"/>
      <c r="J210" s="432"/>
      <c r="K210" s="432"/>
      <c r="L210" s="432"/>
      <c r="M210" s="432"/>
      <c r="N210" s="432"/>
      <c r="O210" s="432"/>
      <c r="P210" s="432"/>
      <c r="Q210" s="432"/>
      <c r="R210" s="432"/>
      <c r="S210" s="432"/>
      <c r="T210" s="432"/>
      <c r="U210" s="432"/>
      <c r="V210" s="432"/>
      <c r="W210" s="432"/>
      <c r="X210" s="432"/>
      <c r="Y210" s="432"/>
      <c r="Z210" s="432"/>
      <c r="AA210" s="432"/>
      <c r="AB210" s="432"/>
      <c r="AC210" s="432"/>
      <c r="AD210" s="433"/>
      <c r="AE210" s="454"/>
    </row>
  </sheetData>
  <mergeCells count="600">
    <mergeCell ref="A8:V8"/>
    <mergeCell ref="W8:AE8"/>
    <mergeCell ref="A9:V9"/>
    <mergeCell ref="W9:AE22"/>
    <mergeCell ref="A10:B21"/>
    <mergeCell ref="C10:L10"/>
    <mergeCell ref="M10:U10"/>
    <mergeCell ref="C11:L11"/>
    <mergeCell ref="C16:L16"/>
    <mergeCell ref="M16:U16"/>
    <mergeCell ref="C17:L17"/>
    <mergeCell ref="M17:U17"/>
    <mergeCell ref="C18:U18"/>
    <mergeCell ref="C19:L19"/>
    <mergeCell ref="M11:U11"/>
    <mergeCell ref="V11:V17"/>
    <mergeCell ref="C12:L12"/>
    <mergeCell ref="M12:U12"/>
    <mergeCell ref="C13:L13"/>
    <mergeCell ref="M13:U13"/>
    <mergeCell ref="C14:L14"/>
    <mergeCell ref="M14:U14"/>
    <mergeCell ref="C15:L15"/>
    <mergeCell ref="M15:U15"/>
    <mergeCell ref="M19:U19"/>
    <mergeCell ref="C20:L20"/>
    <mergeCell ref="M20:U20"/>
    <mergeCell ref="V20:V21"/>
    <mergeCell ref="C21:L21"/>
    <mergeCell ref="M21:U21"/>
    <mergeCell ref="A22:V22"/>
    <mergeCell ref="A23:AF23"/>
    <mergeCell ref="C32:N32"/>
    <mergeCell ref="O32:X32"/>
    <mergeCell ref="O28:X28"/>
    <mergeCell ref="C29:N29"/>
    <mergeCell ref="O29:X29"/>
    <mergeCell ref="C30:N30"/>
    <mergeCell ref="O30:X30"/>
    <mergeCell ref="C31:N31"/>
    <mergeCell ref="O31:X31"/>
    <mergeCell ref="A24:S24"/>
    <mergeCell ref="T24:AE24"/>
    <mergeCell ref="A25:S25"/>
    <mergeCell ref="T25:AE25"/>
    <mergeCell ref="A26:Z26"/>
    <mergeCell ref="AA26:AE26"/>
    <mergeCell ref="A27:B39"/>
    <mergeCell ref="H45:Q45"/>
    <mergeCell ref="B46:G46"/>
    <mergeCell ref="H46:Q46"/>
    <mergeCell ref="A40:S40"/>
    <mergeCell ref="T40:AE40"/>
    <mergeCell ref="A41:S41"/>
    <mergeCell ref="T41:AE47"/>
    <mergeCell ref="A42:A46"/>
    <mergeCell ref="B42:G42"/>
    <mergeCell ref="H42:Q42"/>
    <mergeCell ref="R42:S46"/>
    <mergeCell ref="B43:G43"/>
    <mergeCell ref="H43:Q43"/>
    <mergeCell ref="C27:X27"/>
    <mergeCell ref="Y27:Z39"/>
    <mergeCell ref="AA27:AE39"/>
    <mergeCell ref="C28:N28"/>
    <mergeCell ref="C35:N35"/>
    <mergeCell ref="O35:X35"/>
    <mergeCell ref="C33:N33"/>
    <mergeCell ref="O33:X33"/>
    <mergeCell ref="C34:N34"/>
    <mergeCell ref="O34:X34"/>
    <mergeCell ref="F52:R52"/>
    <mergeCell ref="B53:E53"/>
    <mergeCell ref="F53:R53"/>
    <mergeCell ref="A54:S54"/>
    <mergeCell ref="C36:N36"/>
    <mergeCell ref="O36:X36"/>
    <mergeCell ref="C37:N37"/>
    <mergeCell ref="O37:X37"/>
    <mergeCell ref="C38:X38"/>
    <mergeCell ref="C39:X39"/>
    <mergeCell ref="A48:AF48"/>
    <mergeCell ref="A49:S49"/>
    <mergeCell ref="T49:AE49"/>
    <mergeCell ref="A50:S50"/>
    <mergeCell ref="T50:AE54"/>
    <mergeCell ref="A51:A53"/>
    <mergeCell ref="B51:E51"/>
    <mergeCell ref="F51:R51"/>
    <mergeCell ref="S51:S53"/>
    <mergeCell ref="B52:E52"/>
    <mergeCell ref="A47:S47"/>
    <mergeCell ref="B44:G44"/>
    <mergeCell ref="H44:Q44"/>
    <mergeCell ref="B45:G45"/>
    <mergeCell ref="E59:I59"/>
    <mergeCell ref="J59:M59"/>
    <mergeCell ref="N59:R59"/>
    <mergeCell ref="S59:X59"/>
    <mergeCell ref="C60:D60"/>
    <mergeCell ref="E60:I60"/>
    <mergeCell ref="J60:M60"/>
    <mergeCell ref="J57:M57"/>
    <mergeCell ref="N57:R57"/>
    <mergeCell ref="S57:X57"/>
    <mergeCell ref="Y57:Y86"/>
    <mergeCell ref="C58:D58"/>
    <mergeCell ref="E58:I58"/>
    <mergeCell ref="J58:M58"/>
    <mergeCell ref="N58:R58"/>
    <mergeCell ref="S58:X58"/>
    <mergeCell ref="C59:D59"/>
    <mergeCell ref="J62:M62"/>
    <mergeCell ref="N62:R62"/>
    <mergeCell ref="S62:X62"/>
    <mergeCell ref="E64:I64"/>
    <mergeCell ref="J64:M64"/>
    <mergeCell ref="N64:R64"/>
    <mergeCell ref="S68:X68"/>
    <mergeCell ref="C65:D65"/>
    <mergeCell ref="E65:I65"/>
    <mergeCell ref="J65:M65"/>
    <mergeCell ref="N65:R65"/>
    <mergeCell ref="S65:X65"/>
    <mergeCell ref="C66:D66"/>
    <mergeCell ref="E66:I66"/>
    <mergeCell ref="J66:M66"/>
    <mergeCell ref="N66:R66"/>
    <mergeCell ref="S70:X70"/>
    <mergeCell ref="A55:Y55"/>
    <mergeCell ref="Z55:AE55"/>
    <mergeCell ref="A56:Y56"/>
    <mergeCell ref="Z56:AE87"/>
    <mergeCell ref="A57:B86"/>
    <mergeCell ref="C57:D57"/>
    <mergeCell ref="E57:I57"/>
    <mergeCell ref="S64:X64"/>
    <mergeCell ref="N60:R60"/>
    <mergeCell ref="S60:X60"/>
    <mergeCell ref="C61:D61"/>
    <mergeCell ref="E61:I61"/>
    <mergeCell ref="J61:M61"/>
    <mergeCell ref="N61:R61"/>
    <mergeCell ref="S61:X61"/>
    <mergeCell ref="C62:D62"/>
    <mergeCell ref="E62:I62"/>
    <mergeCell ref="S66:X66"/>
    <mergeCell ref="C63:D63"/>
    <mergeCell ref="E63:I63"/>
    <mergeCell ref="J63:M63"/>
    <mergeCell ref="N63:R63"/>
    <mergeCell ref="S63:X63"/>
    <mergeCell ref="C64:D64"/>
    <mergeCell ref="C67:D67"/>
    <mergeCell ref="E67:I67"/>
    <mergeCell ref="J67:M67"/>
    <mergeCell ref="N67:R67"/>
    <mergeCell ref="S67:X67"/>
    <mergeCell ref="C68:D68"/>
    <mergeCell ref="E68:I68"/>
    <mergeCell ref="J68:M68"/>
    <mergeCell ref="N68:R68"/>
    <mergeCell ref="C69:D69"/>
    <mergeCell ref="E69:I69"/>
    <mergeCell ref="J69:M69"/>
    <mergeCell ref="N69:R69"/>
    <mergeCell ref="S69:X69"/>
    <mergeCell ref="C70:D70"/>
    <mergeCell ref="E70:I70"/>
    <mergeCell ref="J70:M70"/>
    <mergeCell ref="N70:R70"/>
    <mergeCell ref="C71:D71"/>
    <mergeCell ref="E71:I71"/>
    <mergeCell ref="J71:M71"/>
    <mergeCell ref="N71:R71"/>
    <mergeCell ref="S71:X71"/>
    <mergeCell ref="C72:D72"/>
    <mergeCell ref="E72:I72"/>
    <mergeCell ref="J72:M72"/>
    <mergeCell ref="N72:R72"/>
    <mergeCell ref="S72:X72"/>
    <mergeCell ref="C73:D73"/>
    <mergeCell ref="E73:I73"/>
    <mergeCell ref="J73:M73"/>
    <mergeCell ref="N73:R73"/>
    <mergeCell ref="S73:X73"/>
    <mergeCell ref="C74:D74"/>
    <mergeCell ref="E74:I74"/>
    <mergeCell ref="J74:M74"/>
    <mergeCell ref="N74:R74"/>
    <mergeCell ref="S74:X74"/>
    <mergeCell ref="C75:D75"/>
    <mergeCell ref="E75:I75"/>
    <mergeCell ref="J75:M75"/>
    <mergeCell ref="N75:R75"/>
    <mergeCell ref="S75:X75"/>
    <mergeCell ref="C76:D76"/>
    <mergeCell ref="E76:I76"/>
    <mergeCell ref="J76:M76"/>
    <mergeCell ref="N76:R76"/>
    <mergeCell ref="S76:X76"/>
    <mergeCell ref="C77:D77"/>
    <mergeCell ref="E77:I77"/>
    <mergeCell ref="J77:M77"/>
    <mergeCell ref="N77:R77"/>
    <mergeCell ref="S77:X77"/>
    <mergeCell ref="C78:D78"/>
    <mergeCell ref="E78:I78"/>
    <mergeCell ref="J78:M78"/>
    <mergeCell ref="N78:R78"/>
    <mergeCell ref="S78:X78"/>
    <mergeCell ref="C79:D79"/>
    <mergeCell ref="E79:I79"/>
    <mergeCell ref="J79:M79"/>
    <mergeCell ref="N79:R79"/>
    <mergeCell ref="S79:X79"/>
    <mergeCell ref="C80:D80"/>
    <mergeCell ref="E80:I80"/>
    <mergeCell ref="J80:M80"/>
    <mergeCell ref="N80:R80"/>
    <mergeCell ref="S80:X80"/>
    <mergeCell ref="C81:D81"/>
    <mergeCell ref="E81:I81"/>
    <mergeCell ref="J81:M81"/>
    <mergeCell ref="N81:R81"/>
    <mergeCell ref="S81:X81"/>
    <mergeCell ref="C82:D82"/>
    <mergeCell ref="E82:I82"/>
    <mergeCell ref="J82:M82"/>
    <mergeCell ref="N82:R82"/>
    <mergeCell ref="S82:X82"/>
    <mergeCell ref="S86:X86"/>
    <mergeCell ref="C83:D83"/>
    <mergeCell ref="E83:I83"/>
    <mergeCell ref="J83:M83"/>
    <mergeCell ref="N83:R83"/>
    <mergeCell ref="S83:X83"/>
    <mergeCell ref="C84:D84"/>
    <mergeCell ref="E84:I84"/>
    <mergeCell ref="J84:M84"/>
    <mergeCell ref="N84:R84"/>
    <mergeCell ref="S84:X84"/>
    <mergeCell ref="C98:F98"/>
    <mergeCell ref="C85:D85"/>
    <mergeCell ref="E85:I85"/>
    <mergeCell ref="J85:M85"/>
    <mergeCell ref="N85:R85"/>
    <mergeCell ref="S85:X85"/>
    <mergeCell ref="C86:D86"/>
    <mergeCell ref="E86:I86"/>
    <mergeCell ref="J86:M86"/>
    <mergeCell ref="N86:R86"/>
    <mergeCell ref="C95:F95"/>
    <mergeCell ref="G95:R95"/>
    <mergeCell ref="C96:F96"/>
    <mergeCell ref="G96:R96"/>
    <mergeCell ref="C97:F97"/>
    <mergeCell ref="G97:R97"/>
    <mergeCell ref="G90:R90"/>
    <mergeCell ref="S90:S109"/>
    <mergeCell ref="C91:F91"/>
    <mergeCell ref="G91:R91"/>
    <mergeCell ref="C92:F92"/>
    <mergeCell ref="G92:R92"/>
    <mergeCell ref="C93:F93"/>
    <mergeCell ref="G93:R93"/>
    <mergeCell ref="C94:F94"/>
    <mergeCell ref="G94:R94"/>
    <mergeCell ref="G101:R101"/>
    <mergeCell ref="C102:F102"/>
    <mergeCell ref="G102:R102"/>
    <mergeCell ref="A87:Y87"/>
    <mergeCell ref="A88:S88"/>
    <mergeCell ref="T88:AE88"/>
    <mergeCell ref="A89:S89"/>
    <mergeCell ref="T89:AE110"/>
    <mergeCell ref="A90:B109"/>
    <mergeCell ref="C90:F90"/>
    <mergeCell ref="C106:F106"/>
    <mergeCell ref="G106:R106"/>
    <mergeCell ref="C107:F107"/>
    <mergeCell ref="G107:R107"/>
    <mergeCell ref="G98:R98"/>
    <mergeCell ref="C99:F99"/>
    <mergeCell ref="G99:R99"/>
    <mergeCell ref="C100:F100"/>
    <mergeCell ref="G100:R100"/>
    <mergeCell ref="C101:F101"/>
    <mergeCell ref="C103:F103"/>
    <mergeCell ref="G103:R103"/>
    <mergeCell ref="C104:F104"/>
    <mergeCell ref="G104:R104"/>
    <mergeCell ref="C105:F105"/>
    <mergeCell ref="G105:R105"/>
    <mergeCell ref="K116:U116"/>
    <mergeCell ref="B117:J117"/>
    <mergeCell ref="K117:U117"/>
    <mergeCell ref="B118:J118"/>
    <mergeCell ref="K118:U118"/>
    <mergeCell ref="C108:F108"/>
    <mergeCell ref="G108:R108"/>
    <mergeCell ref="C109:F109"/>
    <mergeCell ref="G109:R109"/>
    <mergeCell ref="A110:S110"/>
    <mergeCell ref="K119:U119"/>
    <mergeCell ref="B120:J120"/>
    <mergeCell ref="K120:U120"/>
    <mergeCell ref="B121:J121"/>
    <mergeCell ref="K121:U121"/>
    <mergeCell ref="A122:W122"/>
    <mergeCell ref="B119:J119"/>
    <mergeCell ref="X111:AE111"/>
    <mergeCell ref="A112:W112"/>
    <mergeCell ref="X112:AE122"/>
    <mergeCell ref="A113:A121"/>
    <mergeCell ref="B113:J113"/>
    <mergeCell ref="K113:U113"/>
    <mergeCell ref="V113:W121"/>
    <mergeCell ref="B114:J114"/>
    <mergeCell ref="K114:U114"/>
    <mergeCell ref="B115:J115"/>
    <mergeCell ref="A111:W111"/>
    <mergeCell ref="K115:U115"/>
    <mergeCell ref="B116:J116"/>
    <mergeCell ref="X123:AE123"/>
    <mergeCell ref="A124:W124"/>
    <mergeCell ref="X124:AE131"/>
    <mergeCell ref="A125:A130"/>
    <mergeCell ref="B125:H125"/>
    <mergeCell ref="I125:U125"/>
    <mergeCell ref="V125:W130"/>
    <mergeCell ref="B126:H126"/>
    <mergeCell ref="I126:U126"/>
    <mergeCell ref="A131:W131"/>
    <mergeCell ref="B130:H130"/>
    <mergeCell ref="I130:U130"/>
    <mergeCell ref="B128:H128"/>
    <mergeCell ref="I128:U128"/>
    <mergeCell ref="B129:H129"/>
    <mergeCell ref="I129:U129"/>
    <mergeCell ref="B127:H127"/>
    <mergeCell ref="I127:U127"/>
    <mergeCell ref="A123:W123"/>
    <mergeCell ref="AB132:AE132"/>
    <mergeCell ref="A133:AA133"/>
    <mergeCell ref="AB133:AE158"/>
    <mergeCell ref="A134:A157"/>
    <mergeCell ref="B134:E135"/>
    <mergeCell ref="F134:AA134"/>
    <mergeCell ref="F135:K135"/>
    <mergeCell ref="L135:W135"/>
    <mergeCell ref="X135:AA135"/>
    <mergeCell ref="B136:E136"/>
    <mergeCell ref="B141:E141"/>
    <mergeCell ref="F141:K141"/>
    <mergeCell ref="L141:W141"/>
    <mergeCell ref="X141:AA141"/>
    <mergeCell ref="A132:AA132"/>
    <mergeCell ref="F136:K136"/>
    <mergeCell ref="L136:W136"/>
    <mergeCell ref="B146:E146"/>
    <mergeCell ref="F146:K146"/>
    <mergeCell ref="L146:W146"/>
    <mergeCell ref="X146:AA146"/>
    <mergeCell ref="X136:AA136"/>
    <mergeCell ref="B137:E137"/>
    <mergeCell ref="F139:K139"/>
    <mergeCell ref="L139:W139"/>
    <mergeCell ref="X139:AA139"/>
    <mergeCell ref="B140:E140"/>
    <mergeCell ref="F140:K140"/>
    <mergeCell ref="L140:W140"/>
    <mergeCell ref="X140:AA140"/>
    <mergeCell ref="B139:E139"/>
    <mergeCell ref="F137:K137"/>
    <mergeCell ref="L137:W137"/>
    <mergeCell ref="X137:AA137"/>
    <mergeCell ref="B138:E138"/>
    <mergeCell ref="F138:K138"/>
    <mergeCell ref="L138:W138"/>
    <mergeCell ref="X138:AA138"/>
    <mergeCell ref="B153:E153"/>
    <mergeCell ref="F153:K153"/>
    <mergeCell ref="L153:W153"/>
    <mergeCell ref="X153:AA153"/>
    <mergeCell ref="B142:E142"/>
    <mergeCell ref="F142:K142"/>
    <mergeCell ref="L142:W142"/>
    <mergeCell ref="X142:AA142"/>
    <mergeCell ref="B143:E143"/>
    <mergeCell ref="F143:K143"/>
    <mergeCell ref="B145:E145"/>
    <mergeCell ref="F145:K145"/>
    <mergeCell ref="L145:W145"/>
    <mergeCell ref="X145:AA145"/>
    <mergeCell ref="L143:W143"/>
    <mergeCell ref="X143:AA143"/>
    <mergeCell ref="B144:E144"/>
    <mergeCell ref="F144:K144"/>
    <mergeCell ref="L144:W144"/>
    <mergeCell ref="X144:AA144"/>
    <mergeCell ref="B147:E147"/>
    <mergeCell ref="F147:K147"/>
    <mergeCell ref="L147:W147"/>
    <mergeCell ref="X147:AA147"/>
    <mergeCell ref="X165:AA165"/>
    <mergeCell ref="B148:E148"/>
    <mergeCell ref="F148:K148"/>
    <mergeCell ref="L148:W148"/>
    <mergeCell ref="X148:AA148"/>
    <mergeCell ref="B149:E149"/>
    <mergeCell ref="F156:K156"/>
    <mergeCell ref="L156:W156"/>
    <mergeCell ref="X156:AA156"/>
    <mergeCell ref="B151:E151"/>
    <mergeCell ref="F151:K151"/>
    <mergeCell ref="L151:W151"/>
    <mergeCell ref="X151:AA151"/>
    <mergeCell ref="B152:E152"/>
    <mergeCell ref="F152:K152"/>
    <mergeCell ref="L152:W152"/>
    <mergeCell ref="F149:K149"/>
    <mergeCell ref="L149:W149"/>
    <mergeCell ref="X149:AA149"/>
    <mergeCell ref="B150:E150"/>
    <mergeCell ref="F150:K150"/>
    <mergeCell ref="L150:W150"/>
    <mergeCell ref="X150:AA150"/>
    <mergeCell ref="X152:AA152"/>
    <mergeCell ref="F165:K165"/>
    <mergeCell ref="L165:W165"/>
    <mergeCell ref="B165:E165"/>
    <mergeCell ref="B154:E154"/>
    <mergeCell ref="F154:K154"/>
    <mergeCell ref="L154:W154"/>
    <mergeCell ref="X154:AA154"/>
    <mergeCell ref="B155:E155"/>
    <mergeCell ref="F155:K155"/>
    <mergeCell ref="L155:W155"/>
    <mergeCell ref="X155:AA155"/>
    <mergeCell ref="B156:E156"/>
    <mergeCell ref="F163:K163"/>
    <mergeCell ref="L163:W163"/>
    <mergeCell ref="X163:AA163"/>
    <mergeCell ref="B164:E164"/>
    <mergeCell ref="F164:K164"/>
    <mergeCell ref="L164:W164"/>
    <mergeCell ref="X164:AA164"/>
    <mergeCell ref="B157:E157"/>
    <mergeCell ref="F157:K157"/>
    <mergeCell ref="L157:W157"/>
    <mergeCell ref="X157:AA157"/>
    <mergeCell ref="A158:AA158"/>
    <mergeCell ref="B171:E171"/>
    <mergeCell ref="F171:K171"/>
    <mergeCell ref="L171:W171"/>
    <mergeCell ref="X171:AA171"/>
    <mergeCell ref="A172:AA172"/>
    <mergeCell ref="AB159:AE159"/>
    <mergeCell ref="A160:AA160"/>
    <mergeCell ref="AB160:AE172"/>
    <mergeCell ref="A161:A171"/>
    <mergeCell ref="B161:E162"/>
    <mergeCell ref="F161:AA161"/>
    <mergeCell ref="F162:K162"/>
    <mergeCell ref="L162:W162"/>
    <mergeCell ref="X162:AA162"/>
    <mergeCell ref="B163:E163"/>
    <mergeCell ref="A159:AA159"/>
    <mergeCell ref="B166:E166"/>
    <mergeCell ref="F166:K166"/>
    <mergeCell ref="L166:W166"/>
    <mergeCell ref="X166:AA166"/>
    <mergeCell ref="B167:E167"/>
    <mergeCell ref="F167:K167"/>
    <mergeCell ref="L167:W167"/>
    <mergeCell ref="X167:AA167"/>
    <mergeCell ref="B168:E168"/>
    <mergeCell ref="F168:K168"/>
    <mergeCell ref="L168:W168"/>
    <mergeCell ref="X168:AA168"/>
    <mergeCell ref="B169:E169"/>
    <mergeCell ref="F169:K169"/>
    <mergeCell ref="L169:W169"/>
    <mergeCell ref="X169:AA169"/>
    <mergeCell ref="B170:E170"/>
    <mergeCell ref="F170:K170"/>
    <mergeCell ref="L170:W170"/>
    <mergeCell ref="X170:AA170"/>
    <mergeCell ref="AC173:AE173"/>
    <mergeCell ref="A174:AB174"/>
    <mergeCell ref="AC174:AE184"/>
    <mergeCell ref="A175:A183"/>
    <mergeCell ref="B175:F175"/>
    <mergeCell ref="G175:P175"/>
    <mergeCell ref="Q175:AA175"/>
    <mergeCell ref="AB175:AB183"/>
    <mergeCell ref="B176:F176"/>
    <mergeCell ref="G176:P176"/>
    <mergeCell ref="Q181:AA181"/>
    <mergeCell ref="B182:F182"/>
    <mergeCell ref="G182:P182"/>
    <mergeCell ref="Q182:AA182"/>
    <mergeCell ref="A173:AB173"/>
    <mergeCell ref="B179:F179"/>
    <mergeCell ref="Q176:AA176"/>
    <mergeCell ref="B177:F177"/>
    <mergeCell ref="G177:P177"/>
    <mergeCell ref="Q177:AA177"/>
    <mergeCell ref="B178:F178"/>
    <mergeCell ref="G178:P178"/>
    <mergeCell ref="Q178:AA178"/>
    <mergeCell ref="D189:G189"/>
    <mergeCell ref="H189:T189"/>
    <mergeCell ref="A190:V190"/>
    <mergeCell ref="G179:P179"/>
    <mergeCell ref="Q179:AA179"/>
    <mergeCell ref="B180:F180"/>
    <mergeCell ref="G180:P180"/>
    <mergeCell ref="Q180:AA180"/>
    <mergeCell ref="B181:F181"/>
    <mergeCell ref="G181:P181"/>
    <mergeCell ref="W186:AE190"/>
    <mergeCell ref="A187:A189"/>
    <mergeCell ref="B187:C187"/>
    <mergeCell ref="D187:G187"/>
    <mergeCell ref="H187:T187"/>
    <mergeCell ref="U187:V189"/>
    <mergeCell ref="B188:C188"/>
    <mergeCell ref="D188:G188"/>
    <mergeCell ref="H188:T188"/>
    <mergeCell ref="B189:C189"/>
    <mergeCell ref="B198:J198"/>
    <mergeCell ref="K198:O198"/>
    <mergeCell ref="P198:Z198"/>
    <mergeCell ref="B183:F183"/>
    <mergeCell ref="G183:P183"/>
    <mergeCell ref="Q183:AA183"/>
    <mergeCell ref="A184:AB184"/>
    <mergeCell ref="A185:V185"/>
    <mergeCell ref="W185:AE185"/>
    <mergeCell ref="A186:V186"/>
    <mergeCell ref="B196:J196"/>
    <mergeCell ref="K196:O196"/>
    <mergeCell ref="P196:Z196"/>
    <mergeCell ref="AA196:AC196"/>
    <mergeCell ref="B197:J197"/>
    <mergeCell ref="K197:O197"/>
    <mergeCell ref="P197:Z197"/>
    <mergeCell ref="AA197:AC197"/>
    <mergeCell ref="B194:J194"/>
    <mergeCell ref="K194:AC194"/>
    <mergeCell ref="B195:J195"/>
    <mergeCell ref="K195:O195"/>
    <mergeCell ref="P195:Z195"/>
    <mergeCell ref="AA195:AC195"/>
    <mergeCell ref="K200:O200"/>
    <mergeCell ref="P200:Z200"/>
    <mergeCell ref="AA200:AC200"/>
    <mergeCell ref="A191:AD191"/>
    <mergeCell ref="A192:AD192"/>
    <mergeCell ref="AE192:AE210"/>
    <mergeCell ref="A193:A206"/>
    <mergeCell ref="B193:J193"/>
    <mergeCell ref="K193:AC193"/>
    <mergeCell ref="AD193:AD206"/>
    <mergeCell ref="B203:J203"/>
    <mergeCell ref="K203:O203"/>
    <mergeCell ref="P203:Z203"/>
    <mergeCell ref="AA203:AC203"/>
    <mergeCell ref="AA198:AC198"/>
    <mergeCell ref="B199:J199"/>
    <mergeCell ref="K199:O199"/>
    <mergeCell ref="P199:Z199"/>
    <mergeCell ref="AA199:AC199"/>
    <mergeCell ref="B200:J200"/>
    <mergeCell ref="B201:J201"/>
    <mergeCell ref="K201:O201"/>
    <mergeCell ref="P201:Z201"/>
    <mergeCell ref="AA201:AC201"/>
    <mergeCell ref="B202:J202"/>
    <mergeCell ref="K202:O202"/>
    <mergeCell ref="P202:Z202"/>
    <mergeCell ref="AA202:AC202"/>
    <mergeCell ref="P205:Z205"/>
    <mergeCell ref="AA205:AC205"/>
    <mergeCell ref="B206:J206"/>
    <mergeCell ref="K206:O206"/>
    <mergeCell ref="P206:Z206"/>
    <mergeCell ref="AA206:AC206"/>
    <mergeCell ref="A207:AD207"/>
    <mergeCell ref="A208:AD208"/>
    <mergeCell ref="A209:AD209"/>
    <mergeCell ref="A210:AD210"/>
    <mergeCell ref="B204:J204"/>
    <mergeCell ref="K204:O204"/>
    <mergeCell ref="P204:Z204"/>
    <mergeCell ref="AA204:AC204"/>
    <mergeCell ref="B205:J205"/>
    <mergeCell ref="K205:O205"/>
  </mergeCells>
  <hyperlinks>
    <hyperlink ref="W9" r:id="rId1" display="https://www.transportation.gov/office-policy/transportation-policy/revised-departmental-guidance-on-valuation-of-a-statistical-life-in-economic-analysis" xr:uid="{16AAE11F-9F41-4FD7-8F6D-45B8FE1BAC5C}"/>
    <hyperlink ref="AA27" r:id="rId2" display="https://www.transportation.gov/office-policy/transportation-policy/revised-departmental-guidance-valuation-travel-time-economic" xr:uid="{D546BD3F-0855-4458-9F5F-F8D3A72DAA37}"/>
    <hyperlink ref="T50" r:id="rId3" display="https://newsroom.aaa.com/wp-content/uploads/2021/08/2021-YDC-Brochure-Live.pdf" xr:uid="{8774FB99-E34F-4BC9-848E-8AFF51258AB6}"/>
    <hyperlink ref="Z56" r:id="rId4" display="https://www.epa.gov/sites/default/files/2018-02/documents/sourceapportionmentbpttsd_2018.pdf" xr:uid="{E133D590-7778-4586-BD32-05E16A0BC514}"/>
    <hyperlink ref="T89" r:id="rId5" display="https://apps.bea.gov/iTable/iTable.cfm?reqid=19&amp;step=3&amp;isuri=1&amp;1921=survey&amp;1903=11%23reqid%3D19&amp;step=3&amp;isuri=1&amp;1921=survey&amp;1903=11" xr:uid="{26A4EAF4-091C-4274-9AAD-60A5233C9BFE}"/>
    <hyperlink ref="X112" r:id="rId6" display="https://www.sciencedirect.com/science/article/abs/pii/S136192090900039X" xr:uid="{72694523-B082-4E6B-8DEC-EEEA0DE58FF9}"/>
    <hyperlink ref="X124" r:id="rId7" display="https://www.sfcta.org/sites/default/files/2019-03/BikeRouteChoiceModel.pdf" xr:uid="{F8B8A744-940A-4852-A616-8C4D2180BD6F}"/>
    <hyperlink ref="AB133" r:id="rId8" display="https://publictransportresearchgroup.info/portfolio-item/best-practice-approaches-to-public-transport-customer-amenity-valuation/" xr:uid="{680AA9FE-03A1-48B2-9CF6-13697614817D}"/>
    <hyperlink ref="AB160" r:id="rId9" display="https://publictransportresearchgroup.info/portfolio-item/best-practice-approaches-to-public-transport-customer-amenity-valuation/" xr:uid="{1D45396B-A2E8-430B-BE41-BCC9134828D9}"/>
    <hyperlink ref="AC174" r:id="rId10" display="https://www.transit.dot.gov/funding/grant-programs/capital-investments/stops" xr:uid="{88CFBC29-0AD0-4C9E-B768-BE251C853FF1}"/>
    <hyperlink ref="W186" r:id="rId11" display="https://www.euro.who.int/__data/assets/pdf_file/0010/352963/Heat.pdf" xr:uid="{25CA74EF-82C8-44A5-8F66-4FE3AAD1D05E}"/>
    <hyperlink ref="AE192" r:id="rId12" display="https://www.fhwa.dot.gov/policy/otps/costallocation.cfm" xr:uid="{DFB3C6FD-DA97-4172-97D5-99FDC7F676F3}"/>
    <hyperlink ref="D4" r:id="rId13" xr:uid="{B31F8349-4934-4D37-9B57-A6488801D52A}"/>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D82D5-0E16-421D-B63A-1C692B447500}">
  <sheetPr>
    <tabColor theme="6"/>
  </sheetPr>
  <dimension ref="A1:I36"/>
  <sheetViews>
    <sheetView workbookViewId="0">
      <selection activeCell="D19" sqref="D19"/>
    </sheetView>
  </sheetViews>
  <sheetFormatPr defaultRowHeight="15"/>
  <cols>
    <col min="1" max="1" width="28.5703125" bestFit="1" customWidth="1"/>
    <col min="2" max="2" width="19.7109375" customWidth="1"/>
    <col min="3" max="3" width="1.140625" customWidth="1"/>
    <col min="4" max="4" width="20" customWidth="1"/>
    <col min="5" max="8" width="15" customWidth="1"/>
    <col min="9" max="9" width="19.28515625" customWidth="1"/>
  </cols>
  <sheetData>
    <row r="1" spans="1:9" ht="27" thickBot="1">
      <c r="A1" s="322" t="s">
        <v>577</v>
      </c>
      <c r="B1" s="322">
        <v>2021</v>
      </c>
    </row>
    <row r="2" spans="1:9" ht="19.5" thickBot="1">
      <c r="A2" s="602" t="s">
        <v>578</v>
      </c>
      <c r="B2" s="31" t="s">
        <v>579</v>
      </c>
      <c r="C2" s="263"/>
      <c r="D2" s="604" t="s">
        <v>580</v>
      </c>
      <c r="E2" s="604"/>
      <c r="F2" s="604"/>
      <c r="G2" s="604"/>
      <c r="H2" s="604"/>
      <c r="I2" s="605"/>
    </row>
    <row r="3" spans="1:9" ht="30.75" thickBot="1">
      <c r="A3" s="603"/>
      <c r="B3" s="255" t="s">
        <v>581</v>
      </c>
      <c r="C3" s="264"/>
      <c r="D3" s="32" t="s">
        <v>582</v>
      </c>
      <c r="E3" s="32" t="s">
        <v>583</v>
      </c>
      <c r="F3" s="32" t="s">
        <v>584</v>
      </c>
      <c r="G3" s="32" t="s">
        <v>585</v>
      </c>
      <c r="H3" s="274" t="s">
        <v>216</v>
      </c>
      <c r="I3" s="281" t="s">
        <v>586</v>
      </c>
    </row>
    <row r="4" spans="1:9" ht="15.75" thickBot="1">
      <c r="A4" s="33">
        <v>2022</v>
      </c>
      <c r="B4" s="286">
        <f>B23*VLOOKUP(B$20,'REF GDP Deflator'!$C$33:$E$53,3)</f>
        <v>0</v>
      </c>
      <c r="C4" s="265"/>
      <c r="D4" s="286">
        <f>D23*(1+$D$19)*VLOOKUP(D$20,'REF GDP Deflator'!$C$33:$E$53,3)</f>
        <v>0</v>
      </c>
      <c r="E4" s="286">
        <f>E23*VLOOKUP(E$20,'REF GDP Deflator'!$C$33:$E$53,3)</f>
        <v>0</v>
      </c>
      <c r="F4" s="286">
        <f>F23*VLOOKUP(F$20,'REF GDP Deflator'!$C$33:$E$53,3)</f>
        <v>0</v>
      </c>
      <c r="G4" s="286">
        <f>G23*VLOOKUP(G$20,'REF GDP Deflator'!$C$33:$E$53,3)</f>
        <v>0</v>
      </c>
      <c r="H4" s="286">
        <f>H23*VLOOKUP(H$20,'REF GDP Deflator'!$C$33:$E$53,3)</f>
        <v>0</v>
      </c>
      <c r="I4" s="283">
        <f>SUM(D4:H4)</f>
        <v>0</v>
      </c>
    </row>
    <row r="5" spans="1:9" ht="15.75" thickBot="1">
      <c r="A5" s="35">
        <v>2023</v>
      </c>
      <c r="B5" s="286">
        <f>B24*VLOOKUP(B$20,'REF GDP Deflator'!$C$33:$E$53,3)</f>
        <v>0</v>
      </c>
      <c r="C5" s="266"/>
      <c r="D5" s="286">
        <f>D24*(1+$D$19)*VLOOKUP(D$20,'REF GDP Deflator'!$C$33:$E$53,3)</f>
        <v>0</v>
      </c>
      <c r="E5" s="286">
        <f>E24*VLOOKUP(E$20,'REF GDP Deflator'!$C$33:$E$53,3)</f>
        <v>0</v>
      </c>
      <c r="F5" s="286">
        <f>F24*VLOOKUP(F$20,'REF GDP Deflator'!$C$33:$E$53,3)</f>
        <v>0</v>
      </c>
      <c r="G5" s="286">
        <f>G24*VLOOKUP(G$20,'REF GDP Deflator'!$C$33:$E$53,3)</f>
        <v>0</v>
      </c>
      <c r="H5" s="286">
        <f>H24*VLOOKUP(H$20,'REF GDP Deflator'!$C$33:$E$53,3)</f>
        <v>0</v>
      </c>
      <c r="I5" s="283">
        <f t="shared" ref="I5:I16" si="0">SUM(D5:H5)</f>
        <v>0</v>
      </c>
    </row>
    <row r="6" spans="1:9">
      <c r="A6" s="37">
        <v>2024</v>
      </c>
      <c r="B6" s="286">
        <f>B25*VLOOKUP(B$20,'REF GDP Deflator'!$C$33:$E$53,3)</f>
        <v>0</v>
      </c>
      <c r="C6" s="265"/>
      <c r="D6" s="286">
        <f>D25*(1+$D$19)*VLOOKUP(D$20,'REF GDP Deflator'!$C$33:$E$53,3)</f>
        <v>0</v>
      </c>
      <c r="E6" s="286">
        <f>E25*VLOOKUP(E$20,'REF GDP Deflator'!$C$33:$E$53,3)</f>
        <v>0</v>
      </c>
      <c r="F6" s="286">
        <f>F25*VLOOKUP(F$20,'REF GDP Deflator'!$C$33:$E$53,3)</f>
        <v>309955.68</v>
      </c>
      <c r="G6" s="286">
        <f>G25*VLOOKUP(G$20,'REF GDP Deflator'!$C$33:$E$53,3)</f>
        <v>427292.62803904532</v>
      </c>
      <c r="H6" s="286">
        <f>H25*VLOOKUP(H$20,'REF GDP Deflator'!$C$33:$E$53,3)</f>
        <v>715311.09274266893</v>
      </c>
      <c r="I6" s="287">
        <f t="shared" si="0"/>
        <v>1452559.4007817144</v>
      </c>
    </row>
    <row r="7" spans="1:9">
      <c r="A7" s="38">
        <v>2025</v>
      </c>
      <c r="B7" s="286">
        <f>B26*VLOOKUP(B$20,'REF GDP Deflator'!$C$33:$E$53,3)</f>
        <v>0</v>
      </c>
      <c r="C7" s="267"/>
      <c r="D7" s="286">
        <f>D26*(1+$D$19)*VLOOKUP(D$20,'REF GDP Deflator'!$C$33:$E$53,3)</f>
        <v>6692995.7028839365</v>
      </c>
      <c r="E7" s="286">
        <f>E26*VLOOKUP(E$20,'REF GDP Deflator'!$C$33:$E$53,3)</f>
        <v>0</v>
      </c>
      <c r="F7" s="286">
        <f>F26*VLOOKUP(F$20,'REF GDP Deflator'!$C$33:$E$53,3)</f>
        <v>0</v>
      </c>
      <c r="G7" s="286">
        <f>G26*VLOOKUP(G$20,'REF GDP Deflator'!$C$33:$E$53,3)</f>
        <v>0</v>
      </c>
      <c r="H7" s="286">
        <f>H26*VLOOKUP(H$20,'REF GDP Deflator'!$C$33:$E$53,3)</f>
        <v>0</v>
      </c>
      <c r="I7" s="287">
        <f t="shared" si="0"/>
        <v>6692995.7028839365</v>
      </c>
    </row>
    <row r="8" spans="1:9" ht="15.75" thickBot="1">
      <c r="A8" s="39">
        <v>2026</v>
      </c>
      <c r="B8" s="286">
        <f>B27*VLOOKUP(B$20,'REF GDP Deflator'!$C$33:$E$53,3)</f>
        <v>0</v>
      </c>
      <c r="C8" s="268"/>
      <c r="D8" s="286">
        <f>D27*(1+$D$19)*VLOOKUP(D$20,'REF GDP Deflator'!$C$33:$E$53,3)</f>
        <v>13385992.307685779</v>
      </c>
      <c r="E8" s="286">
        <f>E27*VLOOKUP(E$20,'REF GDP Deflator'!$C$33:$E$53,3)</f>
        <v>0</v>
      </c>
      <c r="F8" s="286">
        <f>F27*VLOOKUP(F$20,'REF GDP Deflator'!$C$33:$E$53,3)</f>
        <v>0</v>
      </c>
      <c r="G8" s="286">
        <f>G27*VLOOKUP(G$20,'REF GDP Deflator'!$C$33:$E$53,3)</f>
        <v>0</v>
      </c>
      <c r="H8" s="286">
        <f>H27*VLOOKUP(H$20,'REF GDP Deflator'!$C$33:$E$53,3)</f>
        <v>0</v>
      </c>
      <c r="I8" s="287">
        <f t="shared" si="0"/>
        <v>13385992.307685779</v>
      </c>
    </row>
    <row r="9" spans="1:9" ht="15.75" thickBot="1">
      <c r="A9" s="33">
        <v>2027</v>
      </c>
      <c r="B9" s="286">
        <f>B28*VLOOKUP(B$20,'REF GDP Deflator'!$C$33:$E$53,3)</f>
        <v>0</v>
      </c>
      <c r="C9" s="268"/>
      <c r="D9" s="286">
        <f>D28*(1+$D$19)*VLOOKUP(D$20,'REF GDP Deflator'!$C$33:$E$53,3)</f>
        <v>0</v>
      </c>
      <c r="E9" s="286">
        <f>E28*VLOOKUP(E$20,'REF GDP Deflator'!$C$33:$E$53,3)</f>
        <v>315671.26775934198</v>
      </c>
      <c r="F9" s="286">
        <f>F28*VLOOKUP(F$20,'REF GDP Deflator'!$C$33:$E$53,3)</f>
        <v>0</v>
      </c>
      <c r="G9" s="286">
        <f>G28*VLOOKUP(G$20,'REF GDP Deflator'!$C$33:$E$53,3)</f>
        <v>0</v>
      </c>
      <c r="H9" s="286">
        <f>H28*VLOOKUP(H$20,'REF GDP Deflator'!$C$33:$E$53,3)</f>
        <v>0</v>
      </c>
      <c r="I9" s="287">
        <f t="shared" si="0"/>
        <v>315671.26775934198</v>
      </c>
    </row>
    <row r="10" spans="1:9" ht="15.75" thickBot="1">
      <c r="A10" s="33">
        <v>2030</v>
      </c>
      <c r="B10" s="286">
        <f>B29*VLOOKUP(B$20,'REF GDP Deflator'!$C$33:$E$53,3)</f>
        <v>1453891.6675087409</v>
      </c>
      <c r="C10" s="268"/>
      <c r="D10" s="286">
        <f>D29*(1+$D$19)*VLOOKUP(D$20,'REF GDP Deflator'!$C$33:$E$53,3)</f>
        <v>0</v>
      </c>
      <c r="E10" s="286">
        <f>E29*VLOOKUP(E$20,'REF GDP Deflator'!$C$33:$E$53,3)</f>
        <v>0</v>
      </c>
      <c r="F10" s="286">
        <f>F29*VLOOKUP(F$20,'REF GDP Deflator'!$C$33:$E$53,3)</f>
        <v>0</v>
      </c>
      <c r="G10" s="286">
        <f>G29*VLOOKUP(G$20,'REF GDP Deflator'!$C$33:$E$53,3)</f>
        <v>0</v>
      </c>
      <c r="H10" s="286">
        <f>H29*VLOOKUP(H$20,'REF GDP Deflator'!$C$33:$E$53,3)</f>
        <v>0</v>
      </c>
      <c r="I10" s="283">
        <f t="shared" si="0"/>
        <v>0</v>
      </c>
    </row>
    <row r="11" spans="1:9" ht="15.75" thickBot="1">
      <c r="A11" s="33">
        <v>2035</v>
      </c>
      <c r="B11" s="286">
        <f>B30*VLOOKUP(B$20,'REF GDP Deflator'!$C$33:$E$53,3)</f>
        <v>901917.90788383433</v>
      </c>
      <c r="C11" s="268"/>
      <c r="D11" s="286">
        <f>D30*(1+$D$19)*VLOOKUP(D$20,'REF GDP Deflator'!$C$33:$E$53,3)</f>
        <v>0</v>
      </c>
      <c r="E11" s="286">
        <f>E30*VLOOKUP(E$20,'REF GDP Deflator'!$C$33:$E$53,3)</f>
        <v>0</v>
      </c>
      <c r="F11" s="286">
        <f>F30*VLOOKUP(F$20,'REF GDP Deflator'!$C$33:$E$53,3)</f>
        <v>0</v>
      </c>
      <c r="G11" s="286">
        <f>G30*VLOOKUP(G$20,'REF GDP Deflator'!$C$33:$E$53,3)</f>
        <v>0</v>
      </c>
      <c r="H11" s="286">
        <f>H30*VLOOKUP(H$20,'REF GDP Deflator'!$C$33:$E$53,3)</f>
        <v>0</v>
      </c>
      <c r="I11" s="283">
        <f t="shared" si="0"/>
        <v>0</v>
      </c>
    </row>
    <row r="12" spans="1:9" ht="15.75" thickBot="1">
      <c r="A12" s="33">
        <v>2040</v>
      </c>
      <c r="B12" s="286">
        <f>B31*VLOOKUP(B$20,'REF GDP Deflator'!$C$33:$E$53,3)</f>
        <v>0</v>
      </c>
      <c r="C12" s="268"/>
      <c r="D12" s="286">
        <f>D31*(1+$D$19)*VLOOKUP(D$20,'REF GDP Deflator'!$C$33:$E$53,3)</f>
        <v>0</v>
      </c>
      <c r="E12" s="286">
        <f>E31*VLOOKUP(E$20,'REF GDP Deflator'!$C$33:$E$53,3)</f>
        <v>0</v>
      </c>
      <c r="F12" s="286">
        <f>F31*VLOOKUP(F$20,'REF GDP Deflator'!$C$33:$E$53,3)</f>
        <v>0</v>
      </c>
      <c r="G12" s="286">
        <f>G31*VLOOKUP(G$20,'REF GDP Deflator'!$C$33:$E$53,3)</f>
        <v>0</v>
      </c>
      <c r="H12" s="286">
        <f>H31*VLOOKUP(H$20,'REF GDP Deflator'!$C$33:$E$53,3)</f>
        <v>0</v>
      </c>
      <c r="I12" s="283">
        <f t="shared" si="0"/>
        <v>0</v>
      </c>
    </row>
    <row r="13" spans="1:9" ht="15.75" thickBot="1">
      <c r="A13" s="33">
        <v>2045</v>
      </c>
      <c r="B13" s="286">
        <f>B32*VLOOKUP(B$20,'REF GDP Deflator'!$C$33:$E$53,3)</f>
        <v>1453891.6675087409</v>
      </c>
      <c r="C13" s="268"/>
      <c r="D13" s="286">
        <f>D32*(1+$D$19)*VLOOKUP(D$20,'REF GDP Deflator'!$C$33:$E$53,3)</f>
        <v>0</v>
      </c>
      <c r="E13" s="286">
        <f>E32*VLOOKUP(E$20,'REF GDP Deflator'!$C$33:$E$53,3)</f>
        <v>0</v>
      </c>
      <c r="F13" s="286">
        <f>F32*VLOOKUP(F$20,'REF GDP Deflator'!$C$33:$E$53,3)</f>
        <v>0</v>
      </c>
      <c r="G13" s="286">
        <f>G32*VLOOKUP(G$20,'REF GDP Deflator'!$C$33:$E$53,3)</f>
        <v>0</v>
      </c>
      <c r="H13" s="286">
        <f>H32*VLOOKUP(H$20,'REF GDP Deflator'!$C$33:$E$53,3)</f>
        <v>0</v>
      </c>
      <c r="I13" s="283">
        <f t="shared" si="0"/>
        <v>0</v>
      </c>
    </row>
    <row r="14" spans="1:9" ht="15.75" thickBot="1">
      <c r="A14" s="35">
        <v>2050</v>
      </c>
      <c r="B14" s="286">
        <f>B33*VLOOKUP(B$20,'REF GDP Deflator'!$C$33:$E$53,3)</f>
        <v>0</v>
      </c>
      <c r="C14" s="268"/>
      <c r="D14" s="286">
        <f>D33*(1+$D$19)*VLOOKUP(D$20,'REF GDP Deflator'!$C$33:$E$53,3)</f>
        <v>0</v>
      </c>
      <c r="E14" s="286">
        <f>E33*VLOOKUP(E$20,'REF GDP Deflator'!$C$33:$E$53,3)</f>
        <v>0</v>
      </c>
      <c r="F14" s="286">
        <f>F33*VLOOKUP(F$20,'REF GDP Deflator'!$C$33:$E$53,3)</f>
        <v>0</v>
      </c>
      <c r="G14" s="286">
        <f>G33*VLOOKUP(G$20,'REF GDP Deflator'!$C$33:$E$53,3)</f>
        <v>0</v>
      </c>
      <c r="H14" s="286">
        <f>H33*VLOOKUP(H$20,'REF GDP Deflator'!$C$33:$E$53,3)</f>
        <v>0</v>
      </c>
      <c r="I14" s="283">
        <f t="shared" si="0"/>
        <v>0</v>
      </c>
    </row>
    <row r="15" spans="1:9" ht="15.75" thickBot="1">
      <c r="A15" s="44">
        <v>2055</v>
      </c>
      <c r="B15" s="286">
        <f>B34*VLOOKUP(B$20,'REF GDP Deflator'!$C$33:$E$53,3)</f>
        <v>0</v>
      </c>
      <c r="C15" s="265"/>
      <c r="D15" s="286">
        <f>D34*(1+$D$19)*VLOOKUP(D$20,'REF GDP Deflator'!$C$33:$E$53,3)</f>
        <v>0</v>
      </c>
      <c r="E15" s="286">
        <f>E34*VLOOKUP(E$20,'REF GDP Deflator'!$C$33:$E$53,3)</f>
        <v>0</v>
      </c>
      <c r="F15" s="286">
        <f>F34*VLOOKUP(F$20,'REF GDP Deflator'!$C$33:$E$53,3)</f>
        <v>0</v>
      </c>
      <c r="G15" s="286">
        <f>G34*VLOOKUP(G$20,'REF GDP Deflator'!$C$33:$E$53,3)</f>
        <v>0</v>
      </c>
      <c r="H15" s="286">
        <f>H34*VLOOKUP(H$20,'REF GDP Deflator'!$C$33:$E$53,3)</f>
        <v>0</v>
      </c>
      <c r="I15" s="283">
        <f t="shared" si="0"/>
        <v>0</v>
      </c>
    </row>
    <row r="16" spans="1:9" ht="15.75" thickBot="1">
      <c r="A16" s="44">
        <v>2060</v>
      </c>
      <c r="B16" s="286">
        <f>B35*VLOOKUP(B$20,'REF GDP Deflator'!$C$33:$E$53,3)</f>
        <v>0</v>
      </c>
      <c r="C16" s="269"/>
      <c r="D16" s="286">
        <f>D35*(1+$D$19)*VLOOKUP(D$20,'REF GDP Deflator'!$C$33:$E$53,3)</f>
        <v>0</v>
      </c>
      <c r="E16" s="286">
        <f>E35*VLOOKUP(E$20,'REF GDP Deflator'!$C$33:$E$53,3)</f>
        <v>0</v>
      </c>
      <c r="F16" s="286">
        <f>F35*VLOOKUP(F$20,'REF GDP Deflator'!$C$33:$E$53,3)</f>
        <v>0</v>
      </c>
      <c r="G16" s="286">
        <f>G35*VLOOKUP(G$20,'REF GDP Deflator'!$C$33:$E$53,3)</f>
        <v>0</v>
      </c>
      <c r="H16" s="286">
        <f>H35*VLOOKUP(H$20,'REF GDP Deflator'!$C$33:$E$53,3)</f>
        <v>0</v>
      </c>
      <c r="I16" s="283">
        <f t="shared" si="0"/>
        <v>0</v>
      </c>
    </row>
    <row r="17" spans="1:9" ht="16.5" thickBot="1">
      <c r="A17" s="45" t="s">
        <v>587</v>
      </c>
      <c r="B17" s="270">
        <f>SUM(B4:B16)</f>
        <v>3809701.2429013159</v>
      </c>
      <c r="C17" s="271"/>
      <c r="D17" s="272">
        <f t="shared" ref="D17:I17" si="1">SUM(D4:D16)</f>
        <v>20078988.010569714</v>
      </c>
      <c r="E17" s="273">
        <f t="shared" si="1"/>
        <v>315671.26775934198</v>
      </c>
      <c r="F17" s="273">
        <f t="shared" si="1"/>
        <v>309955.68</v>
      </c>
      <c r="G17" s="273">
        <f t="shared" si="1"/>
        <v>427292.62803904532</v>
      </c>
      <c r="H17" s="270">
        <f t="shared" si="1"/>
        <v>715311.09274266893</v>
      </c>
      <c r="I17" s="282">
        <f t="shared" si="1"/>
        <v>21847218.679110773</v>
      </c>
    </row>
    <row r="18" spans="1:9" ht="15.75">
      <c r="A18" s="402"/>
      <c r="B18" s="403"/>
      <c r="C18" s="403"/>
      <c r="D18" s="403"/>
      <c r="E18" s="403"/>
      <c r="F18" s="403"/>
      <c r="G18" s="403"/>
      <c r="H18" s="403"/>
      <c r="I18" s="404"/>
    </row>
    <row r="19" spans="1:9">
      <c r="A19" t="s">
        <v>6</v>
      </c>
      <c r="D19" s="405">
        <f>Inputs!$E$37</f>
        <v>0</v>
      </c>
    </row>
    <row r="20" spans="1:9" ht="27" thickBot="1">
      <c r="A20" s="322" t="s">
        <v>577</v>
      </c>
      <c r="B20" s="322">
        <f>Inputs!$E$28</f>
        <v>2022</v>
      </c>
      <c r="C20" s="322"/>
      <c r="D20" s="322">
        <f>Inputs!$E$27</f>
        <v>2022</v>
      </c>
      <c r="E20" s="322">
        <f>Inputs!$E$28</f>
        <v>2022</v>
      </c>
      <c r="F20" s="322">
        <f>Inputs!$E$29</f>
        <v>2018</v>
      </c>
      <c r="G20" s="322">
        <f>Inputs!$E$30</f>
        <v>2022</v>
      </c>
      <c r="H20" s="322">
        <f>Inputs!$E$31</f>
        <v>2022</v>
      </c>
    </row>
    <row r="21" spans="1:9" ht="19.5" thickBot="1">
      <c r="A21" s="602" t="s">
        <v>578</v>
      </c>
      <c r="B21" s="31" t="s">
        <v>579</v>
      </c>
      <c r="C21" s="263"/>
      <c r="D21" s="604" t="s">
        <v>580</v>
      </c>
      <c r="E21" s="604"/>
      <c r="F21" s="604"/>
      <c r="G21" s="604"/>
      <c r="H21" s="604"/>
      <c r="I21" s="605"/>
    </row>
    <row r="22" spans="1:9" ht="30.75" thickBot="1">
      <c r="A22" s="603"/>
      <c r="B22" s="255" t="s">
        <v>581</v>
      </c>
      <c r="C22" s="264"/>
      <c r="D22" s="32" t="s">
        <v>582</v>
      </c>
      <c r="E22" s="32" t="s">
        <v>583</v>
      </c>
      <c r="F22" s="32" t="s">
        <v>584</v>
      </c>
      <c r="G22" s="32" t="s">
        <v>585</v>
      </c>
      <c r="H22" s="274" t="s">
        <v>216</v>
      </c>
      <c r="I22" s="281" t="s">
        <v>586</v>
      </c>
    </row>
    <row r="23" spans="1:9" ht="15.75" thickBot="1">
      <c r="A23" s="33">
        <v>2022</v>
      </c>
      <c r="B23" s="256"/>
      <c r="C23" s="265"/>
      <c r="D23" s="261"/>
      <c r="E23" s="34"/>
      <c r="F23" s="34"/>
      <c r="G23" s="34"/>
      <c r="H23" s="275"/>
      <c r="I23" s="283">
        <f>SUM(D23:H23)</f>
        <v>0</v>
      </c>
    </row>
    <row r="24" spans="1:9" ht="15.75" thickBot="1">
      <c r="A24" s="35">
        <v>2023</v>
      </c>
      <c r="B24" s="257"/>
      <c r="C24" s="266"/>
      <c r="D24" s="262"/>
      <c r="E24" s="34"/>
      <c r="F24" s="34"/>
      <c r="G24" s="34"/>
      <c r="H24" s="275"/>
      <c r="I24" s="283">
        <f t="shared" ref="I24:I35" si="2">SUM(D24:H24)</f>
        <v>0</v>
      </c>
    </row>
    <row r="25" spans="1:9">
      <c r="A25" s="37">
        <v>2024</v>
      </c>
      <c r="B25" s="256"/>
      <c r="C25" s="265"/>
      <c r="D25" s="262"/>
      <c r="E25" s="34"/>
      <c r="F25" s="40">
        <v>286996</v>
      </c>
      <c r="G25" s="40">
        <v>473760</v>
      </c>
      <c r="H25" s="276">
        <v>793100</v>
      </c>
      <c r="I25" s="287">
        <f t="shared" si="2"/>
        <v>1553856</v>
      </c>
    </row>
    <row r="26" spans="1:9">
      <c r="A26" s="38">
        <v>2025</v>
      </c>
      <c r="B26" s="258"/>
      <c r="C26" s="267"/>
      <c r="D26" s="262">
        <v>7420848</v>
      </c>
      <c r="E26" s="36"/>
      <c r="F26" s="36"/>
      <c r="G26" s="36"/>
      <c r="H26" s="277"/>
      <c r="I26" s="287">
        <f t="shared" si="2"/>
        <v>7420848</v>
      </c>
    </row>
    <row r="27" spans="1:9" ht="15.75" thickBot="1">
      <c r="A27" s="39">
        <v>2026</v>
      </c>
      <c r="B27" s="259"/>
      <c r="C27" s="268"/>
      <c r="D27" s="262">
        <v>14841697</v>
      </c>
      <c r="E27" s="40"/>
      <c r="F27" s="40"/>
      <c r="G27" s="40"/>
      <c r="H27" s="276"/>
      <c r="I27" s="287">
        <f t="shared" si="2"/>
        <v>14841697</v>
      </c>
    </row>
    <row r="28" spans="1:9" ht="15.75" thickBot="1">
      <c r="A28" s="33">
        <v>2027</v>
      </c>
      <c r="B28" s="259"/>
      <c r="C28" s="268"/>
      <c r="D28" s="262"/>
      <c r="E28" s="40">
        <v>350000</v>
      </c>
      <c r="F28" s="40"/>
      <c r="G28" s="40"/>
      <c r="H28" s="276"/>
      <c r="I28" s="287">
        <f t="shared" si="2"/>
        <v>350000</v>
      </c>
    </row>
    <row r="29" spans="1:9" ht="15.75" thickBot="1">
      <c r="A29" s="33">
        <v>2030</v>
      </c>
      <c r="B29" s="259">
        <v>1612000</v>
      </c>
      <c r="C29" s="268"/>
      <c r="D29" s="261"/>
      <c r="E29" s="41"/>
      <c r="F29" s="41"/>
      <c r="G29" s="41"/>
      <c r="H29" s="278"/>
      <c r="I29" s="283">
        <f t="shared" si="2"/>
        <v>0</v>
      </c>
    </row>
    <row r="30" spans="1:9" ht="15.75" thickBot="1">
      <c r="A30" s="33">
        <v>2035</v>
      </c>
      <c r="B30" s="259">
        <v>1000000</v>
      </c>
      <c r="C30" s="268"/>
      <c r="D30" s="261"/>
      <c r="E30" s="42"/>
      <c r="F30" s="42"/>
      <c r="G30" s="42"/>
      <c r="H30" s="279"/>
      <c r="I30" s="283">
        <f t="shared" si="2"/>
        <v>0</v>
      </c>
    </row>
    <row r="31" spans="1:9" ht="15.75" thickBot="1">
      <c r="A31" s="33">
        <v>2040</v>
      </c>
      <c r="B31" s="259"/>
      <c r="C31" s="268"/>
      <c r="D31" s="261"/>
      <c r="E31" s="42"/>
      <c r="F31" s="42"/>
      <c r="G31" s="42"/>
      <c r="H31" s="279"/>
      <c r="I31" s="283">
        <f t="shared" si="2"/>
        <v>0</v>
      </c>
    </row>
    <row r="32" spans="1:9" ht="15.75" thickBot="1">
      <c r="A32" s="33">
        <v>2045</v>
      </c>
      <c r="B32" s="259">
        <v>1612000</v>
      </c>
      <c r="C32" s="268"/>
      <c r="D32" s="261"/>
      <c r="E32" s="42"/>
      <c r="F32" s="42"/>
      <c r="G32" s="42"/>
      <c r="H32" s="279"/>
      <c r="I32" s="283">
        <f t="shared" si="2"/>
        <v>0</v>
      </c>
    </row>
    <row r="33" spans="1:9" ht="15.75" thickBot="1">
      <c r="A33" s="35">
        <v>2050</v>
      </c>
      <c r="B33" s="259"/>
      <c r="C33" s="268"/>
      <c r="D33" s="261"/>
      <c r="E33" s="43"/>
      <c r="F33" s="43"/>
      <c r="G33" s="43"/>
      <c r="H33" s="280"/>
      <c r="I33" s="283">
        <f t="shared" si="2"/>
        <v>0</v>
      </c>
    </row>
    <row r="34" spans="1:9" ht="15.75" thickBot="1">
      <c r="A34" s="44">
        <v>2055</v>
      </c>
      <c r="B34" s="256"/>
      <c r="C34" s="265"/>
      <c r="D34" s="261"/>
      <c r="E34" s="40"/>
      <c r="F34" s="40"/>
      <c r="G34" s="40"/>
      <c r="H34" s="276"/>
      <c r="I34" s="283">
        <f t="shared" si="2"/>
        <v>0</v>
      </c>
    </row>
    <row r="35" spans="1:9" ht="15.75" thickBot="1">
      <c r="A35" s="44">
        <v>2060</v>
      </c>
      <c r="B35" s="260"/>
      <c r="C35" s="269"/>
      <c r="D35" s="261"/>
      <c r="E35" s="34"/>
      <c r="F35" s="34"/>
      <c r="G35" s="34"/>
      <c r="H35" s="275"/>
      <c r="I35" s="283">
        <f t="shared" si="2"/>
        <v>0</v>
      </c>
    </row>
    <row r="36" spans="1:9" ht="16.5" thickBot="1">
      <c r="A36" s="45" t="s">
        <v>587</v>
      </c>
      <c r="B36" s="270">
        <f>SUM(B23:B35)</f>
        <v>4224000</v>
      </c>
      <c r="C36" s="271"/>
      <c r="D36" s="272">
        <f t="shared" ref="D36:I36" si="3">SUM(D23:D35)</f>
        <v>22262545</v>
      </c>
      <c r="E36" s="273">
        <f t="shared" si="3"/>
        <v>350000</v>
      </c>
      <c r="F36" s="273">
        <f t="shared" si="3"/>
        <v>286996</v>
      </c>
      <c r="G36" s="273">
        <f t="shared" si="3"/>
        <v>473760</v>
      </c>
      <c r="H36" s="270">
        <f t="shared" si="3"/>
        <v>793100</v>
      </c>
      <c r="I36" s="282">
        <f t="shared" si="3"/>
        <v>24166401</v>
      </c>
    </row>
  </sheetData>
  <mergeCells count="4">
    <mergeCell ref="A2:A3"/>
    <mergeCell ref="D2:I2"/>
    <mergeCell ref="A21:A22"/>
    <mergeCell ref="D21:I2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2F186-B1CF-417D-B73E-AAC90D0B45EB}">
  <sheetPr>
    <tabColor theme="2" tint="-0.249977111117893"/>
  </sheetPr>
  <dimension ref="A1:AD113"/>
  <sheetViews>
    <sheetView topLeftCell="C1" zoomScaleNormal="100" workbookViewId="0">
      <selection activeCell="U47" sqref="U47"/>
    </sheetView>
  </sheetViews>
  <sheetFormatPr defaultRowHeight="15"/>
  <cols>
    <col min="1" max="1" width="22.140625" customWidth="1"/>
    <col min="16" max="16" width="12.42578125" bestFit="1" customWidth="1"/>
    <col min="22" max="22" width="13.42578125" customWidth="1"/>
    <col min="33" max="33" width="14.42578125" customWidth="1"/>
  </cols>
  <sheetData>
    <row r="1" spans="1:27" ht="15.75" thickBot="1">
      <c r="A1" s="74" t="s">
        <v>588</v>
      </c>
      <c r="C1" s="606" t="s">
        <v>49</v>
      </c>
      <c r="D1" s="608" t="s">
        <v>589</v>
      </c>
      <c r="F1" s="619" t="s">
        <v>590</v>
      </c>
      <c r="G1" s="619"/>
      <c r="U1" s="165" t="s">
        <v>591</v>
      </c>
    </row>
    <row r="2" spans="1:27" ht="15" customHeight="1" thickBot="1">
      <c r="A2" t="s">
        <v>592</v>
      </c>
      <c r="C2" s="607"/>
      <c r="D2" s="609"/>
      <c r="F2" s="620">
        <f>(F4-1)/27</f>
        <v>2.0083463745435574E-2</v>
      </c>
      <c r="G2" s="620"/>
      <c r="I2">
        <f>D3*(1+(F2*27))</f>
        <v>43800</v>
      </c>
      <c r="P2" s="622" t="s">
        <v>593</v>
      </c>
      <c r="Q2" s="622"/>
      <c r="V2" s="616"/>
      <c r="W2" s="613" t="str">
        <f>W21</f>
        <v>SYNCHRO (total delay)</v>
      </c>
      <c r="X2" s="614"/>
      <c r="Y2" s="614"/>
      <c r="Z2" s="615"/>
    </row>
    <row r="3" spans="1:27" ht="15.75" thickBot="1">
      <c r="B3" s="75">
        <v>53000</v>
      </c>
      <c r="C3" s="76">
        <v>2018</v>
      </c>
      <c r="D3" s="77">
        <v>28400</v>
      </c>
      <c r="P3">
        <v>2012</v>
      </c>
      <c r="V3" s="617"/>
      <c r="W3" s="159">
        <v>2023</v>
      </c>
      <c r="X3" s="161"/>
      <c r="Y3" s="159">
        <v>2046</v>
      </c>
      <c r="Z3" s="161"/>
    </row>
    <row r="4" spans="1:27" ht="15.75" thickBot="1">
      <c r="C4" s="78">
        <v>2045</v>
      </c>
      <c r="D4" s="79">
        <v>43800</v>
      </c>
      <c r="F4" s="80">
        <f>D4/D3</f>
        <v>1.5422535211267605</v>
      </c>
      <c r="G4" s="621" t="s">
        <v>594</v>
      </c>
      <c r="H4" s="621"/>
      <c r="I4" s="621"/>
      <c r="J4" s="621"/>
      <c r="K4" s="621"/>
      <c r="L4" s="621"/>
      <c r="M4" s="621"/>
      <c r="P4">
        <v>2013</v>
      </c>
      <c r="V4" s="618"/>
      <c r="W4" s="88" t="s">
        <v>393</v>
      </c>
      <c r="X4" s="88" t="s">
        <v>394</v>
      </c>
      <c r="Y4" s="88" t="s">
        <v>395</v>
      </c>
      <c r="Z4" s="88" t="s">
        <v>394</v>
      </c>
      <c r="AA4" s="92" t="s">
        <v>595</v>
      </c>
    </row>
    <row r="5" spans="1:27" ht="15.75" thickBot="1">
      <c r="F5" s="81">
        <f>(F4-1)/(C4-C3)</f>
        <v>2.0083463745435574E-2</v>
      </c>
      <c r="G5" s="621" t="s">
        <v>596</v>
      </c>
      <c r="H5" s="621"/>
      <c r="I5" s="621"/>
      <c r="J5" s="621"/>
      <c r="K5" s="621"/>
      <c r="L5" s="621"/>
      <c r="M5" s="621"/>
      <c r="P5">
        <v>2014</v>
      </c>
      <c r="V5" s="89" t="s">
        <v>597</v>
      </c>
      <c r="W5" s="88">
        <f>W24</f>
        <v>47</v>
      </c>
      <c r="X5" s="88">
        <f t="shared" ref="X5:Z5" si="0">X24</f>
        <v>44</v>
      </c>
      <c r="Y5" s="88">
        <f t="shared" si="0"/>
        <v>179</v>
      </c>
      <c r="Z5" s="88">
        <f t="shared" si="0"/>
        <v>249</v>
      </c>
    </row>
    <row r="6" spans="1:27" ht="15.75" thickBot="1">
      <c r="P6">
        <v>2015</v>
      </c>
      <c r="Q6">
        <v>57300</v>
      </c>
      <c r="V6" s="89" t="s">
        <v>598</v>
      </c>
      <c r="W6" s="88">
        <f t="shared" ref="W6:Z6" si="1">W25</f>
        <v>27</v>
      </c>
      <c r="X6" s="88">
        <f t="shared" si="1"/>
        <v>32</v>
      </c>
      <c r="Y6" s="88">
        <f t="shared" si="1"/>
        <v>85</v>
      </c>
      <c r="Z6" s="88">
        <f t="shared" si="1"/>
        <v>145</v>
      </c>
    </row>
    <row r="7" spans="1:27" ht="15.75" thickBot="1">
      <c r="P7">
        <v>2016</v>
      </c>
      <c r="Q7">
        <v>59200</v>
      </c>
      <c r="V7" s="90" t="s">
        <v>599</v>
      </c>
      <c r="W7" s="88">
        <f t="shared" ref="W7:Z7" si="2">W26</f>
        <v>20</v>
      </c>
      <c r="X7" s="88">
        <f t="shared" si="2"/>
        <v>12</v>
      </c>
      <c r="Y7" s="88">
        <f t="shared" si="2"/>
        <v>94</v>
      </c>
      <c r="Z7" s="88">
        <f t="shared" si="2"/>
        <v>104</v>
      </c>
    </row>
    <row r="8" spans="1:27">
      <c r="A8" s="74" t="s">
        <v>588</v>
      </c>
      <c r="C8" s="606" t="s">
        <v>49</v>
      </c>
      <c r="D8" s="608" t="s">
        <v>600</v>
      </c>
      <c r="P8">
        <v>2017</v>
      </c>
      <c r="Q8">
        <v>62300</v>
      </c>
    </row>
    <row r="9" spans="1:27">
      <c r="C9" s="607"/>
      <c r="D9" s="609"/>
      <c r="P9">
        <v>2018</v>
      </c>
      <c r="Q9">
        <v>61900</v>
      </c>
    </row>
    <row r="10" spans="1:27">
      <c r="C10" s="76">
        <v>2018</v>
      </c>
      <c r="D10" s="77">
        <v>3405</v>
      </c>
      <c r="P10">
        <v>2019</v>
      </c>
      <c r="Q10">
        <v>62900</v>
      </c>
    </row>
    <row r="11" spans="1:27" ht="15.75" thickBot="1">
      <c r="C11" s="78">
        <v>2045</v>
      </c>
      <c r="D11" s="79">
        <v>5215</v>
      </c>
      <c r="F11" s="80">
        <f>D11/D10</f>
        <v>1.5315712187958883</v>
      </c>
      <c r="G11" s="621" t="s">
        <v>594</v>
      </c>
      <c r="H11" s="621"/>
      <c r="I11" s="621"/>
      <c r="J11" s="621"/>
      <c r="K11" s="621"/>
      <c r="L11" s="621"/>
      <c r="M11" s="621"/>
      <c r="P11">
        <v>2020</v>
      </c>
      <c r="Q11">
        <v>52600</v>
      </c>
    </row>
    <row r="12" spans="1:27" ht="15.75" thickBot="1">
      <c r="A12" s="82"/>
      <c r="B12" s="82"/>
      <c r="C12" s="82"/>
      <c r="D12" s="82"/>
      <c r="E12" s="82"/>
      <c r="F12" s="83">
        <f>(F11-1)/(C11-C10)</f>
        <v>1.9687822918366234E-2</v>
      </c>
      <c r="G12" s="623" t="s">
        <v>596</v>
      </c>
      <c r="H12" s="623"/>
      <c r="I12" s="623"/>
      <c r="J12" s="623"/>
      <c r="K12" s="623"/>
      <c r="L12" s="623"/>
      <c r="M12" s="623"/>
      <c r="P12">
        <v>2021</v>
      </c>
      <c r="Q12">
        <v>5300</v>
      </c>
      <c r="S12" s="80">
        <f>Q14/Q13</f>
        <v>-5.1181959564539437</v>
      </c>
      <c r="U12" s="165" t="s">
        <v>601</v>
      </c>
      <c r="W12" t="s">
        <v>602</v>
      </c>
    </row>
    <row r="13" spans="1:27" ht="15.75" thickBot="1">
      <c r="P13" s="76">
        <v>2022</v>
      </c>
      <c r="Q13" s="77">
        <f>TREND(Q6:Q12,P6:P12,P13)</f>
        <v>27557.142857143655</v>
      </c>
      <c r="S13" s="81">
        <f>(S12-1)/(P14-P6)</f>
        <v>-0.17480559875582696</v>
      </c>
      <c r="V13" s="616"/>
      <c r="W13" s="159" t="s">
        <v>603</v>
      </c>
      <c r="X13" s="160"/>
      <c r="Y13" s="160"/>
      <c r="Z13" s="161"/>
      <c r="AA13" s="92" t="s">
        <v>595</v>
      </c>
    </row>
    <row r="14" spans="1:27" ht="15.75" thickBot="1">
      <c r="A14" s="74" t="s">
        <v>604</v>
      </c>
      <c r="C14" s="606" t="s">
        <v>49</v>
      </c>
      <c r="D14" s="608" t="s">
        <v>600</v>
      </c>
      <c r="P14" s="78">
        <v>2050</v>
      </c>
      <c r="Q14" s="79">
        <f>TREND(Q6:Q12,P6:P12,P14)</f>
        <v>-141042.85714285634</v>
      </c>
      <c r="V14" s="617"/>
      <c r="W14" s="159">
        <v>2023</v>
      </c>
      <c r="X14" s="161"/>
      <c r="Y14" s="159">
        <v>2046</v>
      </c>
      <c r="Z14" s="161"/>
    </row>
    <row r="15" spans="1:27" ht="15.75" thickBot="1">
      <c r="C15" s="607"/>
      <c r="D15" s="609"/>
      <c r="P15" s="84" t="s">
        <v>605</v>
      </c>
      <c r="Q15" s="85">
        <f>(S12-1)/(P14-P13)</f>
        <v>-0.21850699844478369</v>
      </c>
      <c r="V15" s="618"/>
      <c r="W15" s="88" t="s">
        <v>393</v>
      </c>
      <c r="X15" s="88" t="s">
        <v>394</v>
      </c>
      <c r="Y15" s="88" t="s">
        <v>395</v>
      </c>
      <c r="Z15" s="88" t="s">
        <v>394</v>
      </c>
    </row>
    <row r="16" spans="1:27" ht="15.75" thickBot="1">
      <c r="C16" s="76">
        <v>2018</v>
      </c>
      <c r="D16" s="77">
        <v>3500</v>
      </c>
      <c r="V16" s="89" t="s">
        <v>597</v>
      </c>
      <c r="W16" s="88">
        <v>58.9</v>
      </c>
      <c r="X16" s="88">
        <v>97.7</v>
      </c>
      <c r="Y16" s="88">
        <v>244.2</v>
      </c>
      <c r="Z16" s="88">
        <v>263.7</v>
      </c>
    </row>
    <row r="17" spans="1:27" ht="15.75" thickBot="1">
      <c r="C17" s="78">
        <v>2045</v>
      </c>
      <c r="D17" s="79">
        <v>5520</v>
      </c>
      <c r="F17" s="80">
        <f>D17/D16</f>
        <v>1.5771428571428572</v>
      </c>
      <c r="G17" s="621" t="s">
        <v>594</v>
      </c>
      <c r="H17" s="621"/>
      <c r="I17" s="621"/>
      <c r="J17" s="621"/>
      <c r="K17" s="621"/>
      <c r="L17" s="621"/>
      <c r="M17" s="621"/>
      <c r="V17" s="89" t="s">
        <v>598</v>
      </c>
      <c r="W17" s="88">
        <v>23.5</v>
      </c>
      <c r="X17" s="88">
        <v>27.1</v>
      </c>
      <c r="Y17" s="88">
        <v>49</v>
      </c>
      <c r="Z17" s="88">
        <v>52.3</v>
      </c>
    </row>
    <row r="18" spans="1:27" ht="15.75" thickBot="1">
      <c r="A18" s="82"/>
      <c r="B18" s="82"/>
      <c r="C18" s="82"/>
      <c r="D18" s="82"/>
      <c r="E18" s="82"/>
      <c r="F18" s="98">
        <f>(F17-1)/(C17-C16)</f>
        <v>2.1375661375661378E-2</v>
      </c>
      <c r="G18" s="623" t="s">
        <v>596</v>
      </c>
      <c r="H18" s="623"/>
      <c r="I18" s="623"/>
      <c r="J18" s="623"/>
      <c r="K18" s="623"/>
      <c r="L18" s="623"/>
      <c r="M18" s="623"/>
      <c r="V18" s="90" t="s">
        <v>599</v>
      </c>
      <c r="W18" s="91">
        <v>35.5</v>
      </c>
      <c r="X18" s="91">
        <v>70.5</v>
      </c>
      <c r="Y18" s="91">
        <v>195.2</v>
      </c>
      <c r="Z18" s="91">
        <v>211.4</v>
      </c>
    </row>
    <row r="20" spans="1:27" ht="15.75" thickBot="1"/>
    <row r="21" spans="1:27" ht="15.75" customHeight="1" thickBot="1">
      <c r="V21" s="616"/>
      <c r="W21" s="159" t="s">
        <v>606</v>
      </c>
      <c r="X21" s="160"/>
      <c r="Y21" s="160"/>
      <c r="Z21" s="161"/>
      <c r="AA21" s="92" t="s">
        <v>595</v>
      </c>
    </row>
    <row r="22" spans="1:27" ht="15.75" thickBot="1">
      <c r="A22" s="74" t="s">
        <v>607</v>
      </c>
      <c r="C22" s="606" t="s">
        <v>49</v>
      </c>
      <c r="D22" s="608" t="s">
        <v>589</v>
      </c>
      <c r="V22" s="617"/>
      <c r="W22" s="159">
        <v>2023</v>
      </c>
      <c r="X22" s="161"/>
      <c r="Y22" s="159">
        <v>2046</v>
      </c>
      <c r="Z22" s="161"/>
    </row>
    <row r="23" spans="1:27" ht="15.75" thickBot="1">
      <c r="C23" s="607"/>
      <c r="D23" s="609"/>
      <c r="V23" s="618"/>
      <c r="W23" s="88" t="s">
        <v>393</v>
      </c>
      <c r="X23" s="88" t="s">
        <v>394</v>
      </c>
      <c r="Y23" s="88" t="s">
        <v>395</v>
      </c>
      <c r="Z23" s="88" t="s">
        <v>394</v>
      </c>
    </row>
    <row r="24" spans="1:27" ht="15.75" thickBot="1">
      <c r="C24" s="76">
        <v>2018</v>
      </c>
      <c r="D24" s="77">
        <v>28400</v>
      </c>
      <c r="V24" s="89" t="s">
        <v>597</v>
      </c>
      <c r="W24" s="88">
        <v>47</v>
      </c>
      <c r="X24" s="88">
        <v>44</v>
      </c>
      <c r="Y24" s="88">
        <v>179</v>
      </c>
      <c r="Z24" s="88">
        <v>249</v>
      </c>
    </row>
    <row r="25" spans="1:27" ht="15.75" thickBot="1">
      <c r="C25" s="78">
        <v>2023</v>
      </c>
      <c r="D25" s="79">
        <f>D3*(1+(F2*5))</f>
        <v>31251.851851851854</v>
      </c>
      <c r="F25" s="80">
        <f>D25/D24</f>
        <v>1.100417318727178</v>
      </c>
      <c r="G25" s="621" t="s">
        <v>608</v>
      </c>
      <c r="H25" s="621"/>
      <c r="I25" s="621"/>
      <c r="J25" s="621"/>
      <c r="K25" s="621"/>
      <c r="L25" s="621"/>
      <c r="M25" s="621"/>
      <c r="V25" s="89" t="s">
        <v>598</v>
      </c>
      <c r="W25" s="88">
        <v>27</v>
      </c>
      <c r="X25" s="88">
        <v>32</v>
      </c>
      <c r="Y25" s="88">
        <v>85</v>
      </c>
      <c r="Z25" s="88">
        <v>145</v>
      </c>
    </row>
    <row r="26" spans="1:27" ht="15.75" thickBot="1">
      <c r="F26" s="81">
        <f>(F25-1)/(C25-C24)</f>
        <v>2.0083463745435591E-2</v>
      </c>
      <c r="G26" s="621" t="s">
        <v>609</v>
      </c>
      <c r="H26" s="621"/>
      <c r="I26" s="621"/>
      <c r="J26" s="621"/>
      <c r="K26" s="621"/>
      <c r="L26" s="621"/>
      <c r="M26" s="621"/>
      <c r="V26" s="90" t="s">
        <v>599</v>
      </c>
      <c r="W26" s="91">
        <v>20</v>
      </c>
      <c r="X26" s="91">
        <v>12</v>
      </c>
      <c r="Y26" s="91">
        <v>94</v>
      </c>
      <c r="Z26" s="91">
        <v>104</v>
      </c>
    </row>
    <row r="27" spans="1:27" ht="15.75" thickBot="1"/>
    <row r="28" spans="1:27" ht="15.75" thickBot="1">
      <c r="V28" s="616"/>
      <c r="W28" s="159" t="s">
        <v>610</v>
      </c>
      <c r="X28" s="160"/>
      <c r="Y28" s="160"/>
      <c r="Z28" s="161"/>
      <c r="AA28" s="92" t="s">
        <v>595</v>
      </c>
    </row>
    <row r="29" spans="1:27" ht="15.75" thickBot="1">
      <c r="V29" s="617"/>
      <c r="W29" s="159">
        <v>2023</v>
      </c>
      <c r="X29" s="161"/>
      <c r="Y29" s="159">
        <v>2046</v>
      </c>
      <c r="Z29" s="161"/>
    </row>
    <row r="30" spans="1:27" ht="15.75" thickBot="1">
      <c r="C30" s="606" t="s">
        <v>49</v>
      </c>
      <c r="D30" s="608" t="s">
        <v>589</v>
      </c>
      <c r="V30" s="618"/>
      <c r="W30" s="88" t="s">
        <v>393</v>
      </c>
      <c r="X30" s="88" t="s">
        <v>394</v>
      </c>
      <c r="Y30" s="88" t="s">
        <v>395</v>
      </c>
      <c r="Z30" s="88" t="s">
        <v>394</v>
      </c>
    </row>
    <row r="31" spans="1:27" ht="15.75" thickBot="1">
      <c r="C31" s="607"/>
      <c r="D31" s="609"/>
      <c r="V31" s="89" t="s">
        <v>597</v>
      </c>
      <c r="W31" s="88">
        <v>21.6</v>
      </c>
      <c r="X31" s="88">
        <v>23.2</v>
      </c>
      <c r="Y31" s="88">
        <v>70.400000000000006</v>
      </c>
      <c r="Z31" s="88">
        <v>81</v>
      </c>
    </row>
    <row r="32" spans="1:27" ht="15.75" thickBot="1">
      <c r="C32" s="76">
        <v>2023</v>
      </c>
      <c r="D32" s="77">
        <f>D25</f>
        <v>31251.851851851854</v>
      </c>
      <c r="V32" s="89" t="s">
        <v>598</v>
      </c>
      <c r="W32" s="88">
        <v>10.3</v>
      </c>
      <c r="X32" s="88">
        <v>10.8</v>
      </c>
      <c r="Y32" s="88">
        <v>18.600000000000001</v>
      </c>
      <c r="Z32" s="88">
        <v>19.100000000000001</v>
      </c>
    </row>
    <row r="33" spans="3:30" ht="15.75" thickBot="1">
      <c r="C33" s="78">
        <v>2046</v>
      </c>
      <c r="D33" s="79">
        <f>D32*(1+(F2*23))</f>
        <v>45687.696825672829</v>
      </c>
      <c r="F33" s="80">
        <f>D33/D32</f>
        <v>1.4619196661450182</v>
      </c>
      <c r="G33" s="621" t="s">
        <v>611</v>
      </c>
      <c r="H33" s="621"/>
      <c r="I33" s="621"/>
      <c r="J33" s="621"/>
      <c r="K33" s="621"/>
      <c r="L33" s="621"/>
      <c r="M33" s="621"/>
      <c r="V33" s="90" t="s">
        <v>599</v>
      </c>
      <c r="W33" s="91">
        <v>11.3</v>
      </c>
      <c r="X33" s="91">
        <v>12.4</v>
      </c>
      <c r="Y33" s="91">
        <v>51.8</v>
      </c>
      <c r="Z33" s="91">
        <v>61.9</v>
      </c>
    </row>
    <row r="34" spans="3:30">
      <c r="F34" s="81">
        <f>(F33-1)/(C33-C32)</f>
        <v>2.0083463745435574E-2</v>
      </c>
      <c r="G34" s="621" t="s">
        <v>612</v>
      </c>
      <c r="H34" s="621"/>
      <c r="I34" s="621"/>
      <c r="J34" s="621"/>
      <c r="K34" s="621"/>
      <c r="L34" s="621"/>
      <c r="M34" s="621"/>
    </row>
    <row r="36" spans="3:30" ht="15.75" thickBot="1"/>
    <row r="37" spans="3:30" ht="15.75" thickBot="1">
      <c r="C37" s="606" t="s">
        <v>49</v>
      </c>
      <c r="D37" s="608" t="s">
        <v>589</v>
      </c>
      <c r="U37" s="165" t="s">
        <v>391</v>
      </c>
    </row>
    <row r="38" spans="3:30" ht="15.75" thickBot="1">
      <c r="C38" s="607"/>
      <c r="D38" s="609"/>
      <c r="V38" s="610" t="s">
        <v>613</v>
      </c>
      <c r="W38" s="613" t="s">
        <v>614</v>
      </c>
      <c r="X38" s="614"/>
      <c r="Y38" s="614"/>
      <c r="Z38" s="615"/>
    </row>
    <row r="39" spans="3:30" ht="15.75" thickBot="1">
      <c r="C39" s="76">
        <v>2018</v>
      </c>
      <c r="D39" s="77">
        <f>D24</f>
        <v>28400</v>
      </c>
      <c r="V39" s="611"/>
      <c r="W39" s="159">
        <v>2023</v>
      </c>
      <c r="X39" s="161"/>
      <c r="Y39" s="159">
        <v>2046</v>
      </c>
      <c r="Z39" s="161"/>
    </row>
    <row r="40" spans="3:30" ht="15.75" thickBot="1">
      <c r="C40" s="78">
        <v>2046</v>
      </c>
      <c r="D40" s="79">
        <f>D39*(1+(F2*28))</f>
        <v>44370.370370370365</v>
      </c>
      <c r="F40" s="80">
        <f>D40/D39</f>
        <v>1.562336984872196</v>
      </c>
      <c r="G40" s="621" t="s">
        <v>615</v>
      </c>
      <c r="H40" s="621"/>
      <c r="I40" s="621"/>
      <c r="J40" s="621"/>
      <c r="K40" s="621"/>
      <c r="L40" s="621"/>
      <c r="M40" s="621"/>
      <c r="V40" s="612"/>
      <c r="W40" s="88" t="s">
        <v>393</v>
      </c>
      <c r="X40" s="88" t="s">
        <v>394</v>
      </c>
      <c r="Y40" s="88" t="s">
        <v>395</v>
      </c>
      <c r="Z40" s="88" t="s">
        <v>394</v>
      </c>
    </row>
    <row r="41" spans="3:30" ht="15.75" thickBot="1">
      <c r="F41" s="81">
        <f>(F40-1)/(C40-C39)</f>
        <v>2.008346374543557E-2</v>
      </c>
      <c r="G41" s="621" t="s">
        <v>616</v>
      </c>
      <c r="H41" s="621"/>
      <c r="I41" s="621"/>
      <c r="J41" s="621"/>
      <c r="K41" s="621"/>
      <c r="L41" s="621"/>
      <c r="M41" s="621"/>
      <c r="V41" s="89" t="s">
        <v>597</v>
      </c>
      <c r="W41" s="88">
        <v>116</v>
      </c>
      <c r="X41" s="88">
        <v>114</v>
      </c>
      <c r="Y41" s="88">
        <v>253</v>
      </c>
      <c r="Z41" s="88">
        <v>308</v>
      </c>
    </row>
    <row r="42" spans="3:30" ht="15.75" thickBot="1">
      <c r="V42" s="89" t="s">
        <v>598</v>
      </c>
      <c r="W42" s="88">
        <v>94</v>
      </c>
      <c r="X42" s="88">
        <v>102</v>
      </c>
      <c r="Y42" s="88">
        <v>174</v>
      </c>
      <c r="Z42" s="88">
        <v>225</v>
      </c>
    </row>
    <row r="43" spans="3:30" ht="15.75" thickBot="1">
      <c r="V43" s="90" t="s">
        <v>599</v>
      </c>
      <c r="W43" s="88">
        <f>W41-W42</f>
        <v>22</v>
      </c>
      <c r="X43" s="88">
        <f>X41-X42</f>
        <v>12</v>
      </c>
      <c r="Y43" s="88">
        <f>Y41-Y42</f>
        <v>79</v>
      </c>
      <c r="Z43" s="88">
        <f>Z41-Z42</f>
        <v>83</v>
      </c>
    </row>
    <row r="47" spans="3:30" ht="15.75" thickBot="1">
      <c r="U47" s="165" t="s">
        <v>397</v>
      </c>
    </row>
    <row r="48" spans="3:30" ht="15.75" thickBot="1">
      <c r="V48" s="610" t="s">
        <v>398</v>
      </c>
      <c r="W48" s="159">
        <v>2023</v>
      </c>
      <c r="X48" s="160"/>
      <c r="Y48" s="160"/>
      <c r="Z48" s="161"/>
      <c r="AA48" s="159">
        <v>2046</v>
      </c>
      <c r="AB48" s="160"/>
      <c r="AC48" s="160"/>
      <c r="AD48" s="161"/>
    </row>
    <row r="49" spans="22:30" ht="15.75" thickBot="1">
      <c r="V49" s="611"/>
      <c r="W49" s="613" t="s">
        <v>393</v>
      </c>
      <c r="X49" s="615"/>
      <c r="Y49" s="613" t="s">
        <v>394</v>
      </c>
      <c r="Z49" s="615"/>
      <c r="AA49" s="613" t="s">
        <v>393</v>
      </c>
      <c r="AB49" s="615"/>
      <c r="AC49" s="613" t="s">
        <v>394</v>
      </c>
      <c r="AD49" s="615"/>
    </row>
    <row r="50" spans="22:30" ht="15.75" thickBot="1">
      <c r="V50" s="612"/>
      <c r="W50" s="88" t="s">
        <v>597</v>
      </c>
      <c r="X50" s="88" t="s">
        <v>580</v>
      </c>
      <c r="Y50" s="88" t="s">
        <v>597</v>
      </c>
      <c r="Z50" s="88" t="s">
        <v>580</v>
      </c>
      <c r="AA50" s="88" t="s">
        <v>597</v>
      </c>
      <c r="AB50" s="88" t="s">
        <v>580</v>
      </c>
      <c r="AC50" s="88" t="s">
        <v>597</v>
      </c>
      <c r="AD50" s="88" t="s">
        <v>580</v>
      </c>
    </row>
    <row r="51" spans="22:30" ht="15.75" thickBot="1">
      <c r="V51" s="89" t="s">
        <v>617</v>
      </c>
      <c r="W51" s="88">
        <v>8.08</v>
      </c>
      <c r="X51" s="88">
        <v>6.6</v>
      </c>
      <c r="Y51" s="88">
        <v>7.97</v>
      </c>
      <c r="Z51" s="88">
        <v>7.13</v>
      </c>
      <c r="AA51" s="88">
        <v>17.7</v>
      </c>
      <c r="AB51" s="88">
        <v>12.19</v>
      </c>
      <c r="AC51" s="88">
        <v>21.54</v>
      </c>
      <c r="AD51" s="88">
        <v>15.74</v>
      </c>
    </row>
    <row r="52" spans="22:30" ht="15.75" thickBot="1">
      <c r="V52" s="89" t="s">
        <v>618</v>
      </c>
      <c r="W52" s="88">
        <v>1.57</v>
      </c>
      <c r="X52" s="88">
        <v>1.28</v>
      </c>
      <c r="Y52" s="88">
        <v>1.55</v>
      </c>
      <c r="Z52" s="88">
        <v>1.39</v>
      </c>
      <c r="AA52" s="88">
        <v>3.44</v>
      </c>
      <c r="AB52" s="88">
        <v>2.37</v>
      </c>
      <c r="AC52" s="88">
        <v>4.1900000000000004</v>
      </c>
      <c r="AD52" s="88">
        <v>3.06</v>
      </c>
    </row>
    <row r="53" spans="22:30" ht="15.75" thickBot="1">
      <c r="V53" s="89" t="s">
        <v>402</v>
      </c>
      <c r="W53" s="88">
        <v>1.87</v>
      </c>
      <c r="X53" s="88">
        <v>1.53</v>
      </c>
      <c r="Y53" s="88">
        <v>1.85</v>
      </c>
      <c r="Z53" s="88">
        <v>1.65</v>
      </c>
      <c r="AA53" s="88">
        <v>4.0999999999999996</v>
      </c>
      <c r="AB53" s="88">
        <v>2.83</v>
      </c>
      <c r="AC53" s="88">
        <v>4.99</v>
      </c>
      <c r="AD53" s="88">
        <v>3.64</v>
      </c>
    </row>
    <row r="67" spans="4:5">
      <c r="D67" t="s">
        <v>619</v>
      </c>
    </row>
    <row r="68" spans="4:5">
      <c r="D68">
        <v>2023</v>
      </c>
      <c r="E68" t="s">
        <v>49</v>
      </c>
    </row>
    <row r="69" spans="4:5">
      <c r="D69">
        <v>9860</v>
      </c>
      <c r="E69" t="s">
        <v>620</v>
      </c>
    </row>
    <row r="70" spans="4:5">
      <c r="D70">
        <v>9860</v>
      </c>
      <c r="E70" t="s">
        <v>621</v>
      </c>
    </row>
    <row r="71" spans="4:5">
      <c r="D71">
        <f>D69+D70</f>
        <v>19720</v>
      </c>
      <c r="E71" t="s">
        <v>622</v>
      </c>
    </row>
    <row r="109" spans="4:5">
      <c r="D109" t="s">
        <v>623</v>
      </c>
    </row>
    <row r="110" spans="4:5">
      <c r="D110">
        <v>2046</v>
      </c>
      <c r="E110" t="s">
        <v>49</v>
      </c>
    </row>
    <row r="111" spans="4:5">
      <c r="D111">
        <v>14414</v>
      </c>
      <c r="E111" t="s">
        <v>620</v>
      </c>
    </row>
    <row r="112" spans="4:5">
      <c r="D112">
        <v>14414</v>
      </c>
      <c r="E112" t="s">
        <v>621</v>
      </c>
    </row>
    <row r="113" spans="4:5">
      <c r="D113">
        <f>D111+D112</f>
        <v>28828</v>
      </c>
      <c r="E113" t="s">
        <v>622</v>
      </c>
    </row>
  </sheetData>
  <mergeCells count="39">
    <mergeCell ref="AC49:AD49"/>
    <mergeCell ref="V13:V15"/>
    <mergeCell ref="V2:V4"/>
    <mergeCell ref="W2:Z2"/>
    <mergeCell ref="V48:V50"/>
    <mergeCell ref="W49:X49"/>
    <mergeCell ref="Y49:Z49"/>
    <mergeCell ref="AA49:AB49"/>
    <mergeCell ref="P2:Q2"/>
    <mergeCell ref="G26:M26"/>
    <mergeCell ref="G5:M5"/>
    <mergeCell ref="G17:M17"/>
    <mergeCell ref="G18:M18"/>
    <mergeCell ref="G25:M25"/>
    <mergeCell ref="G4:M4"/>
    <mergeCell ref="G11:M11"/>
    <mergeCell ref="G12:M12"/>
    <mergeCell ref="G41:M41"/>
    <mergeCell ref="C30:C31"/>
    <mergeCell ref="D30:D31"/>
    <mergeCell ref="G33:M33"/>
    <mergeCell ref="G34:M34"/>
    <mergeCell ref="C37:C38"/>
    <mergeCell ref="D37:D38"/>
    <mergeCell ref="G40:M40"/>
    <mergeCell ref="C1:C2"/>
    <mergeCell ref="D1:D2"/>
    <mergeCell ref="F1:G1"/>
    <mergeCell ref="F2:G2"/>
    <mergeCell ref="C8:C9"/>
    <mergeCell ref="D8:D9"/>
    <mergeCell ref="C14:C15"/>
    <mergeCell ref="D14:D15"/>
    <mergeCell ref="V38:V40"/>
    <mergeCell ref="W38:Z38"/>
    <mergeCell ref="C22:C23"/>
    <mergeCell ref="D22:D23"/>
    <mergeCell ref="V21:V23"/>
    <mergeCell ref="V28:V30"/>
  </mergeCells>
  <pageMargins left="0.7" right="0.7" top="0.75" bottom="0.75" header="0.3" footer="0.3"/>
  <pageSetup orientation="portrait"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D86A8-0D8D-4523-BA07-445DFDA60F17}">
  <sheetPr>
    <tabColor theme="2" tint="-0.249977111117893"/>
  </sheetPr>
  <dimension ref="A2:I22"/>
  <sheetViews>
    <sheetView workbookViewId="0">
      <selection activeCell="A2" sqref="A2"/>
    </sheetView>
  </sheetViews>
  <sheetFormatPr defaultRowHeight="15"/>
  <cols>
    <col min="2" max="2" width="22.140625" customWidth="1"/>
    <col min="3" max="3" width="12.28515625" customWidth="1"/>
    <col min="4" max="4" width="11.5703125" bestFit="1" customWidth="1"/>
    <col min="6" max="6" width="22" customWidth="1"/>
  </cols>
  <sheetData>
    <row r="2" spans="1:9">
      <c r="A2" s="165" t="s">
        <v>361</v>
      </c>
    </row>
    <row r="3" spans="1:9">
      <c r="C3" t="s">
        <v>624</v>
      </c>
    </row>
    <row r="4" spans="1:9" ht="107.25" customHeight="1">
      <c r="C4" s="624" t="s">
        <v>625</v>
      </c>
      <c r="D4" s="624"/>
      <c r="E4" s="624"/>
      <c r="F4" s="624"/>
      <c r="G4" s="624"/>
      <c r="H4" s="624"/>
      <c r="I4" s="624"/>
    </row>
    <row r="5" spans="1:9">
      <c r="B5" t="s">
        <v>626</v>
      </c>
      <c r="C5">
        <v>40</v>
      </c>
      <c r="D5" t="s">
        <v>180</v>
      </c>
    </row>
    <row r="6" spans="1:9">
      <c r="B6" t="s">
        <v>627</v>
      </c>
      <c r="C6">
        <v>97</v>
      </c>
      <c r="D6" t="s">
        <v>180</v>
      </c>
    </row>
    <row r="7" spans="1:9">
      <c r="B7" t="s">
        <v>628</v>
      </c>
      <c r="C7">
        <f>AVERAGE(C5:C6)</f>
        <v>68.5</v>
      </c>
      <c r="D7" t="s">
        <v>180</v>
      </c>
    </row>
    <row r="8" spans="1:9">
      <c r="B8" t="s">
        <v>369</v>
      </c>
      <c r="C8">
        <v>2023</v>
      </c>
    </row>
    <row r="11" spans="1:9">
      <c r="A11" s="165" t="s">
        <v>379</v>
      </c>
    </row>
    <row r="13" spans="1:9">
      <c r="B13" t="s">
        <v>407</v>
      </c>
      <c r="C13" s="193" t="s">
        <v>629</v>
      </c>
    </row>
    <row r="15" spans="1:9">
      <c r="B15" t="s">
        <v>630</v>
      </c>
      <c r="C15" t="s">
        <v>49</v>
      </c>
      <c r="D15">
        <v>2010</v>
      </c>
    </row>
    <row r="16" spans="1:9">
      <c r="B16" t="s">
        <v>630</v>
      </c>
      <c r="C16" t="s">
        <v>631</v>
      </c>
      <c r="D16" s="325">
        <v>391906</v>
      </c>
      <c r="F16" t="s">
        <v>99</v>
      </c>
      <c r="G16" t="s">
        <v>49</v>
      </c>
      <c r="H16">
        <v>2023</v>
      </c>
    </row>
    <row r="17" spans="2:8">
      <c r="B17" t="s">
        <v>632</v>
      </c>
      <c r="C17" t="s">
        <v>49</v>
      </c>
      <c r="D17">
        <v>2020</v>
      </c>
      <c r="F17" t="s">
        <v>100</v>
      </c>
      <c r="G17" t="s">
        <v>101</v>
      </c>
      <c r="H17">
        <v>19760</v>
      </c>
    </row>
    <row r="18" spans="2:8">
      <c r="B18" t="s">
        <v>632</v>
      </c>
      <c r="C18" t="s">
        <v>631</v>
      </c>
      <c r="D18" s="325">
        <v>413066</v>
      </c>
      <c r="F18" t="s">
        <v>102</v>
      </c>
      <c r="G18" t="s">
        <v>49</v>
      </c>
      <c r="H18">
        <v>2046</v>
      </c>
    </row>
    <row r="19" spans="2:8">
      <c r="F19" t="s">
        <v>103</v>
      </c>
      <c r="G19" t="s">
        <v>101</v>
      </c>
      <c r="H19">
        <v>28828</v>
      </c>
    </row>
    <row r="20" spans="2:8">
      <c r="B20" t="s">
        <v>633</v>
      </c>
      <c r="C20" t="s">
        <v>66</v>
      </c>
      <c r="D20" s="326">
        <f>(D18-D16)/D16</f>
        <v>5.3992539027215708E-2</v>
      </c>
      <c r="F20" t="s">
        <v>231</v>
      </c>
      <c r="G20" t="s">
        <v>66</v>
      </c>
      <c r="H20">
        <v>1.6556762094363853E-2</v>
      </c>
    </row>
    <row r="21" spans="2:8">
      <c r="B21" t="s">
        <v>590</v>
      </c>
      <c r="C21" t="s">
        <v>66</v>
      </c>
      <c r="D21" s="326">
        <f>D20/(D17-D15)</f>
        <v>5.3992539027215708E-3</v>
      </c>
      <c r="F21" t="s">
        <v>232</v>
      </c>
      <c r="G21" t="s">
        <v>49</v>
      </c>
      <c r="H21">
        <v>2018</v>
      </c>
    </row>
    <row r="22" spans="2:8">
      <c r="F22" t="s">
        <v>233</v>
      </c>
      <c r="G22" t="s">
        <v>101</v>
      </c>
      <c r="H22">
        <v>18202.404961075328</v>
      </c>
    </row>
  </sheetData>
  <mergeCells count="1">
    <mergeCell ref="C4:I4"/>
  </mergeCells>
  <hyperlinks>
    <hyperlink ref="C13" r:id="rId1" xr:uid="{51CB2808-2CB2-4188-9D5A-5E53DB4D7FF4}"/>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19F91-6AF0-4F80-BDE6-92CB384296FF}">
  <sheetPr>
    <tabColor theme="2" tint="-0.249977111117893"/>
  </sheetPr>
  <dimension ref="B2:D13"/>
  <sheetViews>
    <sheetView workbookViewId="0">
      <selection activeCell="B2" sqref="B2"/>
    </sheetView>
  </sheetViews>
  <sheetFormatPr defaultRowHeight="15"/>
  <cols>
    <col min="2" max="2" width="41.5703125" bestFit="1" customWidth="1"/>
    <col min="4" max="4" width="10.5703125" bestFit="1" customWidth="1"/>
  </cols>
  <sheetData>
    <row r="2" spans="2:4">
      <c r="B2" t="s">
        <v>634</v>
      </c>
    </row>
    <row r="4" spans="2:4">
      <c r="B4" t="s">
        <v>239</v>
      </c>
      <c r="C4">
        <v>2012</v>
      </c>
    </row>
    <row r="5" spans="2:4">
      <c r="B5" t="s">
        <v>635</v>
      </c>
      <c r="C5">
        <v>2021</v>
      </c>
    </row>
    <row r="6" spans="2:4">
      <c r="B6" t="s">
        <v>636</v>
      </c>
      <c r="C6">
        <f>C5-C4</f>
        <v>9</v>
      </c>
    </row>
    <row r="8" spans="2:4">
      <c r="C8" t="s">
        <v>637</v>
      </c>
      <c r="D8" t="s">
        <v>638</v>
      </c>
    </row>
    <row r="9" spans="2:4">
      <c r="B9" t="s">
        <v>113</v>
      </c>
      <c r="C9">
        <v>16</v>
      </c>
      <c r="D9" s="102">
        <f>C9/$C$6</f>
        <v>1.7777777777777777</v>
      </c>
    </row>
    <row r="10" spans="2:4">
      <c r="B10" t="s">
        <v>116</v>
      </c>
      <c r="C10">
        <v>18</v>
      </c>
      <c r="D10" s="102">
        <f>C10/$C$6</f>
        <v>2</v>
      </c>
    </row>
    <row r="11" spans="2:4">
      <c r="B11" t="s">
        <v>246</v>
      </c>
      <c r="C11">
        <v>34</v>
      </c>
      <c r="D11" s="102">
        <f>C11/$C$6</f>
        <v>3.7777777777777777</v>
      </c>
    </row>
    <row r="12" spans="2:4">
      <c r="D12" s="102"/>
    </row>
    <row r="13" spans="2:4">
      <c r="B13" t="s">
        <v>639</v>
      </c>
      <c r="C13" t="s">
        <v>252</v>
      </c>
      <c r="D13">
        <v>0.434</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879C7-13F2-4B99-A187-08D888C0989E}">
  <sheetPr>
    <tabColor theme="2" tint="-0.249977111117893"/>
    <pageSetUpPr fitToPage="1"/>
  </sheetPr>
  <dimension ref="A1:L36"/>
  <sheetViews>
    <sheetView zoomScale="130" zoomScaleNormal="130" workbookViewId="0">
      <pane ySplit="1" topLeftCell="A2" activePane="bottomLeft" state="frozen"/>
      <selection pane="bottomLeft" activeCell="F36" sqref="F36"/>
      <selection activeCell="K8" sqref="K8"/>
    </sheetView>
  </sheetViews>
  <sheetFormatPr defaultRowHeight="12.75"/>
  <cols>
    <col min="1" max="1" width="8.5703125" style="128" customWidth="1"/>
    <col min="2" max="2" width="16.28515625" style="133" customWidth="1"/>
    <col min="3" max="3" width="27.28515625" style="128" customWidth="1"/>
    <col min="4" max="4" width="50.140625" style="128" customWidth="1"/>
    <col min="5" max="5" width="28" style="128" customWidth="1"/>
    <col min="6" max="6" width="18.85546875" style="134" customWidth="1"/>
    <col min="7" max="7" width="20" style="134" customWidth="1"/>
    <col min="8" max="8" width="15.42578125" style="135" customWidth="1"/>
    <col min="9" max="9" width="9.140625" style="136" customWidth="1"/>
    <col min="10" max="10" width="22.42578125" style="128" customWidth="1"/>
    <col min="11" max="11" width="17.5703125" style="128" customWidth="1"/>
    <col min="12" max="256" width="9.140625" style="128"/>
    <col min="257" max="257" width="8.5703125" style="128" customWidth="1"/>
    <col min="258" max="258" width="15" style="128" customWidth="1"/>
    <col min="259" max="259" width="27.28515625" style="128" customWidth="1"/>
    <col min="260" max="260" width="50.140625" style="128" customWidth="1"/>
    <col min="261" max="261" width="28" style="128" customWidth="1"/>
    <col min="262" max="262" width="11.5703125" style="128" customWidth="1"/>
    <col min="263" max="263" width="11.42578125" style="128" customWidth="1"/>
    <col min="264" max="264" width="10.140625" style="128" bestFit="1" customWidth="1"/>
    <col min="265" max="265" width="9.140625" style="128"/>
    <col min="266" max="266" width="22.42578125" style="128" customWidth="1"/>
    <col min="267" max="267" width="10.85546875" style="128" customWidth="1"/>
    <col min="268" max="512" width="9.140625" style="128"/>
    <col min="513" max="513" width="8.5703125" style="128" customWidth="1"/>
    <col min="514" max="514" width="15" style="128" customWidth="1"/>
    <col min="515" max="515" width="27.28515625" style="128" customWidth="1"/>
    <col min="516" max="516" width="50.140625" style="128" customWidth="1"/>
    <col min="517" max="517" width="28" style="128" customWidth="1"/>
    <col min="518" max="518" width="11.5703125" style="128" customWidth="1"/>
    <col min="519" max="519" width="11.42578125" style="128" customWidth="1"/>
    <col min="520" max="520" width="10.140625" style="128" bestFit="1" customWidth="1"/>
    <col min="521" max="521" width="9.140625" style="128"/>
    <col min="522" max="522" width="22.42578125" style="128" customWidth="1"/>
    <col min="523" max="523" width="10.85546875" style="128" customWidth="1"/>
    <col min="524" max="768" width="9.140625" style="128"/>
    <col min="769" max="769" width="8.5703125" style="128" customWidth="1"/>
    <col min="770" max="770" width="15" style="128" customWidth="1"/>
    <col min="771" max="771" width="27.28515625" style="128" customWidth="1"/>
    <col min="772" max="772" width="50.140625" style="128" customWidth="1"/>
    <col min="773" max="773" width="28" style="128" customWidth="1"/>
    <col min="774" max="774" width="11.5703125" style="128" customWidth="1"/>
    <col min="775" max="775" width="11.42578125" style="128" customWidth="1"/>
    <col min="776" max="776" width="10.140625" style="128" bestFit="1" customWidth="1"/>
    <col min="777" max="777" width="9.140625" style="128"/>
    <col min="778" max="778" width="22.42578125" style="128" customWidth="1"/>
    <col min="779" max="779" width="10.85546875" style="128" customWidth="1"/>
    <col min="780" max="1024" width="9.140625" style="128"/>
    <col min="1025" max="1025" width="8.5703125" style="128" customWidth="1"/>
    <col min="1026" max="1026" width="15" style="128" customWidth="1"/>
    <col min="1027" max="1027" width="27.28515625" style="128" customWidth="1"/>
    <col min="1028" max="1028" width="50.140625" style="128" customWidth="1"/>
    <col min="1029" max="1029" width="28" style="128" customWidth="1"/>
    <col min="1030" max="1030" width="11.5703125" style="128" customWidth="1"/>
    <col min="1031" max="1031" width="11.42578125" style="128" customWidth="1"/>
    <col min="1032" max="1032" width="10.140625" style="128" bestFit="1" customWidth="1"/>
    <col min="1033" max="1033" width="9.140625" style="128"/>
    <col min="1034" max="1034" width="22.42578125" style="128" customWidth="1"/>
    <col min="1035" max="1035" width="10.85546875" style="128" customWidth="1"/>
    <col min="1036" max="1280" width="9.140625" style="128"/>
    <col min="1281" max="1281" width="8.5703125" style="128" customWidth="1"/>
    <col min="1282" max="1282" width="15" style="128" customWidth="1"/>
    <col min="1283" max="1283" width="27.28515625" style="128" customWidth="1"/>
    <col min="1284" max="1284" width="50.140625" style="128" customWidth="1"/>
    <col min="1285" max="1285" width="28" style="128" customWidth="1"/>
    <col min="1286" max="1286" width="11.5703125" style="128" customWidth="1"/>
    <col min="1287" max="1287" width="11.42578125" style="128" customWidth="1"/>
    <col min="1288" max="1288" width="10.140625" style="128" bestFit="1" customWidth="1"/>
    <col min="1289" max="1289" width="9.140625" style="128"/>
    <col min="1290" max="1290" width="22.42578125" style="128" customWidth="1"/>
    <col min="1291" max="1291" width="10.85546875" style="128" customWidth="1"/>
    <col min="1292" max="1536" width="9.140625" style="128"/>
    <col min="1537" max="1537" width="8.5703125" style="128" customWidth="1"/>
    <col min="1538" max="1538" width="15" style="128" customWidth="1"/>
    <col min="1539" max="1539" width="27.28515625" style="128" customWidth="1"/>
    <col min="1540" max="1540" width="50.140625" style="128" customWidth="1"/>
    <col min="1541" max="1541" width="28" style="128" customWidth="1"/>
    <col min="1542" max="1542" width="11.5703125" style="128" customWidth="1"/>
    <col min="1543" max="1543" width="11.42578125" style="128" customWidth="1"/>
    <col min="1544" max="1544" width="10.140625" style="128" bestFit="1" customWidth="1"/>
    <col min="1545" max="1545" width="9.140625" style="128"/>
    <col min="1546" max="1546" width="22.42578125" style="128" customWidth="1"/>
    <col min="1547" max="1547" width="10.85546875" style="128" customWidth="1"/>
    <col min="1548" max="1792" width="9.140625" style="128"/>
    <col min="1793" max="1793" width="8.5703125" style="128" customWidth="1"/>
    <col min="1794" max="1794" width="15" style="128" customWidth="1"/>
    <col min="1795" max="1795" width="27.28515625" style="128" customWidth="1"/>
    <col min="1796" max="1796" width="50.140625" style="128" customWidth="1"/>
    <col min="1797" max="1797" width="28" style="128" customWidth="1"/>
    <col min="1798" max="1798" width="11.5703125" style="128" customWidth="1"/>
    <col min="1799" max="1799" width="11.42578125" style="128" customWidth="1"/>
    <col min="1800" max="1800" width="10.140625" style="128" bestFit="1" customWidth="1"/>
    <col min="1801" max="1801" width="9.140625" style="128"/>
    <col min="1802" max="1802" width="22.42578125" style="128" customWidth="1"/>
    <col min="1803" max="1803" width="10.85546875" style="128" customWidth="1"/>
    <col min="1804" max="2048" width="9.140625" style="128"/>
    <col min="2049" max="2049" width="8.5703125" style="128" customWidth="1"/>
    <col min="2050" max="2050" width="15" style="128" customWidth="1"/>
    <col min="2051" max="2051" width="27.28515625" style="128" customWidth="1"/>
    <col min="2052" max="2052" width="50.140625" style="128" customWidth="1"/>
    <col min="2053" max="2053" width="28" style="128" customWidth="1"/>
    <col min="2054" max="2054" width="11.5703125" style="128" customWidth="1"/>
    <col min="2055" max="2055" width="11.42578125" style="128" customWidth="1"/>
    <col min="2056" max="2056" width="10.140625" style="128" bestFit="1" customWidth="1"/>
    <col min="2057" max="2057" width="9.140625" style="128"/>
    <col min="2058" max="2058" width="22.42578125" style="128" customWidth="1"/>
    <col min="2059" max="2059" width="10.85546875" style="128" customWidth="1"/>
    <col min="2060" max="2304" width="9.140625" style="128"/>
    <col min="2305" max="2305" width="8.5703125" style="128" customWidth="1"/>
    <col min="2306" max="2306" width="15" style="128" customWidth="1"/>
    <col min="2307" max="2307" width="27.28515625" style="128" customWidth="1"/>
    <col min="2308" max="2308" width="50.140625" style="128" customWidth="1"/>
    <col min="2309" max="2309" width="28" style="128" customWidth="1"/>
    <col min="2310" max="2310" width="11.5703125" style="128" customWidth="1"/>
    <col min="2311" max="2311" width="11.42578125" style="128" customWidth="1"/>
    <col min="2312" max="2312" width="10.140625" style="128" bestFit="1" customWidth="1"/>
    <col min="2313" max="2313" width="9.140625" style="128"/>
    <col min="2314" max="2314" width="22.42578125" style="128" customWidth="1"/>
    <col min="2315" max="2315" width="10.85546875" style="128" customWidth="1"/>
    <col min="2316" max="2560" width="9.140625" style="128"/>
    <col min="2561" max="2561" width="8.5703125" style="128" customWidth="1"/>
    <col min="2562" max="2562" width="15" style="128" customWidth="1"/>
    <col min="2563" max="2563" width="27.28515625" style="128" customWidth="1"/>
    <col min="2564" max="2564" width="50.140625" style="128" customWidth="1"/>
    <col min="2565" max="2565" width="28" style="128" customWidth="1"/>
    <col min="2566" max="2566" width="11.5703125" style="128" customWidth="1"/>
    <col min="2567" max="2567" width="11.42578125" style="128" customWidth="1"/>
    <col min="2568" max="2568" width="10.140625" style="128" bestFit="1" customWidth="1"/>
    <col min="2569" max="2569" width="9.140625" style="128"/>
    <col min="2570" max="2570" width="22.42578125" style="128" customWidth="1"/>
    <col min="2571" max="2571" width="10.85546875" style="128" customWidth="1"/>
    <col min="2572" max="2816" width="9.140625" style="128"/>
    <col min="2817" max="2817" width="8.5703125" style="128" customWidth="1"/>
    <col min="2818" max="2818" width="15" style="128" customWidth="1"/>
    <col min="2819" max="2819" width="27.28515625" style="128" customWidth="1"/>
    <col min="2820" max="2820" width="50.140625" style="128" customWidth="1"/>
    <col min="2821" max="2821" width="28" style="128" customWidth="1"/>
    <col min="2822" max="2822" width="11.5703125" style="128" customWidth="1"/>
    <col min="2823" max="2823" width="11.42578125" style="128" customWidth="1"/>
    <col min="2824" max="2824" width="10.140625" style="128" bestFit="1" customWidth="1"/>
    <col min="2825" max="2825" width="9.140625" style="128"/>
    <col min="2826" max="2826" width="22.42578125" style="128" customWidth="1"/>
    <col min="2827" max="2827" width="10.85546875" style="128" customWidth="1"/>
    <col min="2828" max="3072" width="9.140625" style="128"/>
    <col min="3073" max="3073" width="8.5703125" style="128" customWidth="1"/>
    <col min="3074" max="3074" width="15" style="128" customWidth="1"/>
    <col min="3075" max="3075" width="27.28515625" style="128" customWidth="1"/>
    <col min="3076" max="3076" width="50.140625" style="128" customWidth="1"/>
    <col min="3077" max="3077" width="28" style="128" customWidth="1"/>
    <col min="3078" max="3078" width="11.5703125" style="128" customWidth="1"/>
    <col min="3079" max="3079" width="11.42578125" style="128" customWidth="1"/>
    <col min="3080" max="3080" width="10.140625" style="128" bestFit="1" customWidth="1"/>
    <col min="3081" max="3081" width="9.140625" style="128"/>
    <col min="3082" max="3082" width="22.42578125" style="128" customWidth="1"/>
    <col min="3083" max="3083" width="10.85546875" style="128" customWidth="1"/>
    <col min="3084" max="3328" width="9.140625" style="128"/>
    <col min="3329" max="3329" width="8.5703125" style="128" customWidth="1"/>
    <col min="3330" max="3330" width="15" style="128" customWidth="1"/>
    <col min="3331" max="3331" width="27.28515625" style="128" customWidth="1"/>
    <col min="3332" max="3332" width="50.140625" style="128" customWidth="1"/>
    <col min="3333" max="3333" width="28" style="128" customWidth="1"/>
    <col min="3334" max="3334" width="11.5703125" style="128" customWidth="1"/>
    <col min="3335" max="3335" width="11.42578125" style="128" customWidth="1"/>
    <col min="3336" max="3336" width="10.140625" style="128" bestFit="1" customWidth="1"/>
    <col min="3337" max="3337" width="9.140625" style="128"/>
    <col min="3338" max="3338" width="22.42578125" style="128" customWidth="1"/>
    <col min="3339" max="3339" width="10.85546875" style="128" customWidth="1"/>
    <col min="3340" max="3584" width="9.140625" style="128"/>
    <col min="3585" max="3585" width="8.5703125" style="128" customWidth="1"/>
    <col min="3586" max="3586" width="15" style="128" customWidth="1"/>
    <col min="3587" max="3587" width="27.28515625" style="128" customWidth="1"/>
    <col min="3588" max="3588" width="50.140625" style="128" customWidth="1"/>
    <col min="3589" max="3589" width="28" style="128" customWidth="1"/>
    <col min="3590" max="3590" width="11.5703125" style="128" customWidth="1"/>
    <col min="3591" max="3591" width="11.42578125" style="128" customWidth="1"/>
    <col min="3592" max="3592" width="10.140625" style="128" bestFit="1" customWidth="1"/>
    <col min="3593" max="3593" width="9.140625" style="128"/>
    <col min="3594" max="3594" width="22.42578125" style="128" customWidth="1"/>
    <col min="3595" max="3595" width="10.85546875" style="128" customWidth="1"/>
    <col min="3596" max="3840" width="9.140625" style="128"/>
    <col min="3841" max="3841" width="8.5703125" style="128" customWidth="1"/>
    <col min="3842" max="3842" width="15" style="128" customWidth="1"/>
    <col min="3843" max="3843" width="27.28515625" style="128" customWidth="1"/>
    <col min="3844" max="3844" width="50.140625" style="128" customWidth="1"/>
    <col min="3845" max="3845" width="28" style="128" customWidth="1"/>
    <col min="3846" max="3846" width="11.5703125" style="128" customWidth="1"/>
    <col min="3847" max="3847" width="11.42578125" style="128" customWidth="1"/>
    <col min="3848" max="3848" width="10.140625" style="128" bestFit="1" customWidth="1"/>
    <col min="3849" max="3849" width="9.140625" style="128"/>
    <col min="3850" max="3850" width="22.42578125" style="128" customWidth="1"/>
    <col min="3851" max="3851" width="10.85546875" style="128" customWidth="1"/>
    <col min="3852" max="4096" width="9.140625" style="128"/>
    <col min="4097" max="4097" width="8.5703125" style="128" customWidth="1"/>
    <col min="4098" max="4098" width="15" style="128" customWidth="1"/>
    <col min="4099" max="4099" width="27.28515625" style="128" customWidth="1"/>
    <col min="4100" max="4100" width="50.140625" style="128" customWidth="1"/>
    <col min="4101" max="4101" width="28" style="128" customWidth="1"/>
    <col min="4102" max="4102" width="11.5703125" style="128" customWidth="1"/>
    <col min="4103" max="4103" width="11.42578125" style="128" customWidth="1"/>
    <col min="4104" max="4104" width="10.140625" style="128" bestFit="1" customWidth="1"/>
    <col min="4105" max="4105" width="9.140625" style="128"/>
    <col min="4106" max="4106" width="22.42578125" style="128" customWidth="1"/>
    <col min="4107" max="4107" width="10.85546875" style="128" customWidth="1"/>
    <col min="4108" max="4352" width="9.140625" style="128"/>
    <col min="4353" max="4353" width="8.5703125" style="128" customWidth="1"/>
    <col min="4354" max="4354" width="15" style="128" customWidth="1"/>
    <col min="4355" max="4355" width="27.28515625" style="128" customWidth="1"/>
    <col min="4356" max="4356" width="50.140625" style="128" customWidth="1"/>
    <col min="4357" max="4357" width="28" style="128" customWidth="1"/>
    <col min="4358" max="4358" width="11.5703125" style="128" customWidth="1"/>
    <col min="4359" max="4359" width="11.42578125" style="128" customWidth="1"/>
    <col min="4360" max="4360" width="10.140625" style="128" bestFit="1" customWidth="1"/>
    <col min="4361" max="4361" width="9.140625" style="128"/>
    <col min="4362" max="4362" width="22.42578125" style="128" customWidth="1"/>
    <col min="4363" max="4363" width="10.85546875" style="128" customWidth="1"/>
    <col min="4364" max="4608" width="9.140625" style="128"/>
    <col min="4609" max="4609" width="8.5703125" style="128" customWidth="1"/>
    <col min="4610" max="4610" width="15" style="128" customWidth="1"/>
    <col min="4611" max="4611" width="27.28515625" style="128" customWidth="1"/>
    <col min="4612" max="4612" width="50.140625" style="128" customWidth="1"/>
    <col min="4613" max="4613" width="28" style="128" customWidth="1"/>
    <col min="4614" max="4614" width="11.5703125" style="128" customWidth="1"/>
    <col min="4615" max="4615" width="11.42578125" style="128" customWidth="1"/>
    <col min="4616" max="4616" width="10.140625" style="128" bestFit="1" customWidth="1"/>
    <col min="4617" max="4617" width="9.140625" style="128"/>
    <col min="4618" max="4618" width="22.42578125" style="128" customWidth="1"/>
    <col min="4619" max="4619" width="10.85546875" style="128" customWidth="1"/>
    <col min="4620" max="4864" width="9.140625" style="128"/>
    <col min="4865" max="4865" width="8.5703125" style="128" customWidth="1"/>
    <col min="4866" max="4866" width="15" style="128" customWidth="1"/>
    <col min="4867" max="4867" width="27.28515625" style="128" customWidth="1"/>
    <col min="4868" max="4868" width="50.140625" style="128" customWidth="1"/>
    <col min="4869" max="4869" width="28" style="128" customWidth="1"/>
    <col min="4870" max="4870" width="11.5703125" style="128" customWidth="1"/>
    <col min="4871" max="4871" width="11.42578125" style="128" customWidth="1"/>
    <col min="4872" max="4872" width="10.140625" style="128" bestFit="1" customWidth="1"/>
    <col min="4873" max="4873" width="9.140625" style="128"/>
    <col min="4874" max="4874" width="22.42578125" style="128" customWidth="1"/>
    <col min="4875" max="4875" width="10.85546875" style="128" customWidth="1"/>
    <col min="4876" max="5120" width="9.140625" style="128"/>
    <col min="5121" max="5121" width="8.5703125" style="128" customWidth="1"/>
    <col min="5122" max="5122" width="15" style="128" customWidth="1"/>
    <col min="5123" max="5123" width="27.28515625" style="128" customWidth="1"/>
    <col min="5124" max="5124" width="50.140625" style="128" customWidth="1"/>
    <col min="5125" max="5125" width="28" style="128" customWidth="1"/>
    <col min="5126" max="5126" width="11.5703125" style="128" customWidth="1"/>
    <col min="5127" max="5127" width="11.42578125" style="128" customWidth="1"/>
    <col min="5128" max="5128" width="10.140625" style="128" bestFit="1" customWidth="1"/>
    <col min="5129" max="5129" width="9.140625" style="128"/>
    <col min="5130" max="5130" width="22.42578125" style="128" customWidth="1"/>
    <col min="5131" max="5131" width="10.85546875" style="128" customWidth="1"/>
    <col min="5132" max="5376" width="9.140625" style="128"/>
    <col min="5377" max="5377" width="8.5703125" style="128" customWidth="1"/>
    <col min="5378" max="5378" width="15" style="128" customWidth="1"/>
    <col min="5379" max="5379" width="27.28515625" style="128" customWidth="1"/>
    <col min="5380" max="5380" width="50.140625" style="128" customWidth="1"/>
    <col min="5381" max="5381" width="28" style="128" customWidth="1"/>
    <col min="5382" max="5382" width="11.5703125" style="128" customWidth="1"/>
    <col min="5383" max="5383" width="11.42578125" style="128" customWidth="1"/>
    <col min="5384" max="5384" width="10.140625" style="128" bestFit="1" customWidth="1"/>
    <col min="5385" max="5385" width="9.140625" style="128"/>
    <col min="5386" max="5386" width="22.42578125" style="128" customWidth="1"/>
    <col min="5387" max="5387" width="10.85546875" style="128" customWidth="1"/>
    <col min="5388" max="5632" width="9.140625" style="128"/>
    <col min="5633" max="5633" width="8.5703125" style="128" customWidth="1"/>
    <col min="5634" max="5634" width="15" style="128" customWidth="1"/>
    <col min="5635" max="5635" width="27.28515625" style="128" customWidth="1"/>
    <col min="5636" max="5636" width="50.140625" style="128" customWidth="1"/>
    <col min="5637" max="5637" width="28" style="128" customWidth="1"/>
    <col min="5638" max="5638" width="11.5703125" style="128" customWidth="1"/>
    <col min="5639" max="5639" width="11.42578125" style="128" customWidth="1"/>
    <col min="5640" max="5640" width="10.140625" style="128" bestFit="1" customWidth="1"/>
    <col min="5641" max="5641" width="9.140625" style="128"/>
    <col min="5642" max="5642" width="22.42578125" style="128" customWidth="1"/>
    <col min="5643" max="5643" width="10.85546875" style="128" customWidth="1"/>
    <col min="5644" max="5888" width="9.140625" style="128"/>
    <col min="5889" max="5889" width="8.5703125" style="128" customWidth="1"/>
    <col min="5890" max="5890" width="15" style="128" customWidth="1"/>
    <col min="5891" max="5891" width="27.28515625" style="128" customWidth="1"/>
    <col min="5892" max="5892" width="50.140625" style="128" customWidth="1"/>
    <col min="5893" max="5893" width="28" style="128" customWidth="1"/>
    <col min="5894" max="5894" width="11.5703125" style="128" customWidth="1"/>
    <col min="5895" max="5895" width="11.42578125" style="128" customWidth="1"/>
    <col min="5896" max="5896" width="10.140625" style="128" bestFit="1" customWidth="1"/>
    <col min="5897" max="5897" width="9.140625" style="128"/>
    <col min="5898" max="5898" width="22.42578125" style="128" customWidth="1"/>
    <col min="5899" max="5899" width="10.85546875" style="128" customWidth="1"/>
    <col min="5900" max="6144" width="9.140625" style="128"/>
    <col min="6145" max="6145" width="8.5703125" style="128" customWidth="1"/>
    <col min="6146" max="6146" width="15" style="128" customWidth="1"/>
    <col min="6147" max="6147" width="27.28515625" style="128" customWidth="1"/>
    <col min="6148" max="6148" width="50.140625" style="128" customWidth="1"/>
    <col min="6149" max="6149" width="28" style="128" customWidth="1"/>
    <col min="6150" max="6150" width="11.5703125" style="128" customWidth="1"/>
    <col min="6151" max="6151" width="11.42578125" style="128" customWidth="1"/>
    <col min="6152" max="6152" width="10.140625" style="128" bestFit="1" customWidth="1"/>
    <col min="6153" max="6153" width="9.140625" style="128"/>
    <col min="6154" max="6154" width="22.42578125" style="128" customWidth="1"/>
    <col min="6155" max="6155" width="10.85546875" style="128" customWidth="1"/>
    <col min="6156" max="6400" width="9.140625" style="128"/>
    <col min="6401" max="6401" width="8.5703125" style="128" customWidth="1"/>
    <col min="6402" max="6402" width="15" style="128" customWidth="1"/>
    <col min="6403" max="6403" width="27.28515625" style="128" customWidth="1"/>
    <col min="6404" max="6404" width="50.140625" style="128" customWidth="1"/>
    <col min="6405" max="6405" width="28" style="128" customWidth="1"/>
    <col min="6406" max="6406" width="11.5703125" style="128" customWidth="1"/>
    <col min="6407" max="6407" width="11.42578125" style="128" customWidth="1"/>
    <col min="6408" max="6408" width="10.140625" style="128" bestFit="1" customWidth="1"/>
    <col min="6409" max="6409" width="9.140625" style="128"/>
    <col min="6410" max="6410" width="22.42578125" style="128" customWidth="1"/>
    <col min="6411" max="6411" width="10.85546875" style="128" customWidth="1"/>
    <col min="6412" max="6656" width="9.140625" style="128"/>
    <col min="6657" max="6657" width="8.5703125" style="128" customWidth="1"/>
    <col min="6658" max="6658" width="15" style="128" customWidth="1"/>
    <col min="6659" max="6659" width="27.28515625" style="128" customWidth="1"/>
    <col min="6660" max="6660" width="50.140625" style="128" customWidth="1"/>
    <col min="6661" max="6661" width="28" style="128" customWidth="1"/>
    <col min="6662" max="6662" width="11.5703125" style="128" customWidth="1"/>
    <col min="6663" max="6663" width="11.42578125" style="128" customWidth="1"/>
    <col min="6664" max="6664" width="10.140625" style="128" bestFit="1" customWidth="1"/>
    <col min="6665" max="6665" width="9.140625" style="128"/>
    <col min="6666" max="6666" width="22.42578125" style="128" customWidth="1"/>
    <col min="6667" max="6667" width="10.85546875" style="128" customWidth="1"/>
    <col min="6668" max="6912" width="9.140625" style="128"/>
    <col min="6913" max="6913" width="8.5703125" style="128" customWidth="1"/>
    <col min="6914" max="6914" width="15" style="128" customWidth="1"/>
    <col min="6915" max="6915" width="27.28515625" style="128" customWidth="1"/>
    <col min="6916" max="6916" width="50.140625" style="128" customWidth="1"/>
    <col min="6917" max="6917" width="28" style="128" customWidth="1"/>
    <col min="6918" max="6918" width="11.5703125" style="128" customWidth="1"/>
    <col min="6919" max="6919" width="11.42578125" style="128" customWidth="1"/>
    <col min="6920" max="6920" width="10.140625" style="128" bestFit="1" customWidth="1"/>
    <col min="6921" max="6921" width="9.140625" style="128"/>
    <col min="6922" max="6922" width="22.42578125" style="128" customWidth="1"/>
    <col min="6923" max="6923" width="10.85546875" style="128" customWidth="1"/>
    <col min="6924" max="7168" width="9.140625" style="128"/>
    <col min="7169" max="7169" width="8.5703125" style="128" customWidth="1"/>
    <col min="7170" max="7170" width="15" style="128" customWidth="1"/>
    <col min="7171" max="7171" width="27.28515625" style="128" customWidth="1"/>
    <col min="7172" max="7172" width="50.140625" style="128" customWidth="1"/>
    <col min="7173" max="7173" width="28" style="128" customWidth="1"/>
    <col min="7174" max="7174" width="11.5703125" style="128" customWidth="1"/>
    <col min="7175" max="7175" width="11.42578125" style="128" customWidth="1"/>
    <col min="7176" max="7176" width="10.140625" style="128" bestFit="1" customWidth="1"/>
    <col min="7177" max="7177" width="9.140625" style="128"/>
    <col min="7178" max="7178" width="22.42578125" style="128" customWidth="1"/>
    <col min="7179" max="7179" width="10.85546875" style="128" customWidth="1"/>
    <col min="7180" max="7424" width="9.140625" style="128"/>
    <col min="7425" max="7425" width="8.5703125" style="128" customWidth="1"/>
    <col min="7426" max="7426" width="15" style="128" customWidth="1"/>
    <col min="7427" max="7427" width="27.28515625" style="128" customWidth="1"/>
    <col min="7428" max="7428" width="50.140625" style="128" customWidth="1"/>
    <col min="7429" max="7429" width="28" style="128" customWidth="1"/>
    <col min="7430" max="7430" width="11.5703125" style="128" customWidth="1"/>
    <col min="7431" max="7431" width="11.42578125" style="128" customWidth="1"/>
    <col min="7432" max="7432" width="10.140625" style="128" bestFit="1" customWidth="1"/>
    <col min="7433" max="7433" width="9.140625" style="128"/>
    <col min="7434" max="7434" width="22.42578125" style="128" customWidth="1"/>
    <col min="7435" max="7435" width="10.85546875" style="128" customWidth="1"/>
    <col min="7436" max="7680" width="9.140625" style="128"/>
    <col min="7681" max="7681" width="8.5703125" style="128" customWidth="1"/>
    <col min="7682" max="7682" width="15" style="128" customWidth="1"/>
    <col min="7683" max="7683" width="27.28515625" style="128" customWidth="1"/>
    <col min="7684" max="7684" width="50.140625" style="128" customWidth="1"/>
    <col min="7685" max="7685" width="28" style="128" customWidth="1"/>
    <col min="7686" max="7686" width="11.5703125" style="128" customWidth="1"/>
    <col min="7687" max="7687" width="11.42578125" style="128" customWidth="1"/>
    <col min="7688" max="7688" width="10.140625" style="128" bestFit="1" customWidth="1"/>
    <col min="7689" max="7689" width="9.140625" style="128"/>
    <col min="7690" max="7690" width="22.42578125" style="128" customWidth="1"/>
    <col min="7691" max="7691" width="10.85546875" style="128" customWidth="1"/>
    <col min="7692" max="7936" width="9.140625" style="128"/>
    <col min="7937" max="7937" width="8.5703125" style="128" customWidth="1"/>
    <col min="7938" max="7938" width="15" style="128" customWidth="1"/>
    <col min="7939" max="7939" width="27.28515625" style="128" customWidth="1"/>
    <col min="7940" max="7940" width="50.140625" style="128" customWidth="1"/>
    <col min="7941" max="7941" width="28" style="128" customWidth="1"/>
    <col min="7942" max="7942" width="11.5703125" style="128" customWidth="1"/>
    <col min="7943" max="7943" width="11.42578125" style="128" customWidth="1"/>
    <col min="7944" max="7944" width="10.140625" style="128" bestFit="1" customWidth="1"/>
    <col min="7945" max="7945" width="9.140625" style="128"/>
    <col min="7946" max="7946" width="22.42578125" style="128" customWidth="1"/>
    <col min="7947" max="7947" width="10.85546875" style="128" customWidth="1"/>
    <col min="7948" max="8192" width="9.140625" style="128"/>
    <col min="8193" max="8193" width="8.5703125" style="128" customWidth="1"/>
    <col min="8194" max="8194" width="15" style="128" customWidth="1"/>
    <col min="8195" max="8195" width="27.28515625" style="128" customWidth="1"/>
    <col min="8196" max="8196" width="50.140625" style="128" customWidth="1"/>
    <col min="8197" max="8197" width="28" style="128" customWidth="1"/>
    <col min="8198" max="8198" width="11.5703125" style="128" customWidth="1"/>
    <col min="8199" max="8199" width="11.42578125" style="128" customWidth="1"/>
    <col min="8200" max="8200" width="10.140625" style="128" bestFit="1" customWidth="1"/>
    <col min="8201" max="8201" width="9.140625" style="128"/>
    <col min="8202" max="8202" width="22.42578125" style="128" customWidth="1"/>
    <col min="8203" max="8203" width="10.85546875" style="128" customWidth="1"/>
    <col min="8204" max="8448" width="9.140625" style="128"/>
    <col min="8449" max="8449" width="8.5703125" style="128" customWidth="1"/>
    <col min="8450" max="8450" width="15" style="128" customWidth="1"/>
    <col min="8451" max="8451" width="27.28515625" style="128" customWidth="1"/>
    <col min="8452" max="8452" width="50.140625" style="128" customWidth="1"/>
    <col min="8453" max="8453" width="28" style="128" customWidth="1"/>
    <col min="8454" max="8454" width="11.5703125" style="128" customWidth="1"/>
    <col min="8455" max="8455" width="11.42578125" style="128" customWidth="1"/>
    <col min="8456" max="8456" width="10.140625" style="128" bestFit="1" customWidth="1"/>
    <col min="8457" max="8457" width="9.140625" style="128"/>
    <col min="8458" max="8458" width="22.42578125" style="128" customWidth="1"/>
    <col min="8459" max="8459" width="10.85546875" style="128" customWidth="1"/>
    <col min="8460" max="8704" width="9.140625" style="128"/>
    <col min="8705" max="8705" width="8.5703125" style="128" customWidth="1"/>
    <col min="8706" max="8706" width="15" style="128" customWidth="1"/>
    <col min="8707" max="8707" width="27.28515625" style="128" customWidth="1"/>
    <col min="8708" max="8708" width="50.140625" style="128" customWidth="1"/>
    <col min="8709" max="8709" width="28" style="128" customWidth="1"/>
    <col min="8710" max="8710" width="11.5703125" style="128" customWidth="1"/>
    <col min="8711" max="8711" width="11.42578125" style="128" customWidth="1"/>
    <col min="8712" max="8712" width="10.140625" style="128" bestFit="1" customWidth="1"/>
    <col min="8713" max="8713" width="9.140625" style="128"/>
    <col min="8714" max="8714" width="22.42578125" style="128" customWidth="1"/>
    <col min="8715" max="8715" width="10.85546875" style="128" customWidth="1"/>
    <col min="8716" max="8960" width="9.140625" style="128"/>
    <col min="8961" max="8961" width="8.5703125" style="128" customWidth="1"/>
    <col min="8962" max="8962" width="15" style="128" customWidth="1"/>
    <col min="8963" max="8963" width="27.28515625" style="128" customWidth="1"/>
    <col min="8964" max="8964" width="50.140625" style="128" customWidth="1"/>
    <col min="8965" max="8965" width="28" style="128" customWidth="1"/>
    <col min="8966" max="8966" width="11.5703125" style="128" customWidth="1"/>
    <col min="8967" max="8967" width="11.42578125" style="128" customWidth="1"/>
    <col min="8968" max="8968" width="10.140625" style="128" bestFit="1" customWidth="1"/>
    <col min="8969" max="8969" width="9.140625" style="128"/>
    <col min="8970" max="8970" width="22.42578125" style="128" customWidth="1"/>
    <col min="8971" max="8971" width="10.85546875" style="128" customWidth="1"/>
    <col min="8972" max="9216" width="9.140625" style="128"/>
    <col min="9217" max="9217" width="8.5703125" style="128" customWidth="1"/>
    <col min="9218" max="9218" width="15" style="128" customWidth="1"/>
    <col min="9219" max="9219" width="27.28515625" style="128" customWidth="1"/>
    <col min="9220" max="9220" width="50.140625" style="128" customWidth="1"/>
    <col min="9221" max="9221" width="28" style="128" customWidth="1"/>
    <col min="9222" max="9222" width="11.5703125" style="128" customWidth="1"/>
    <col min="9223" max="9223" width="11.42578125" style="128" customWidth="1"/>
    <col min="9224" max="9224" width="10.140625" style="128" bestFit="1" customWidth="1"/>
    <col min="9225" max="9225" width="9.140625" style="128"/>
    <col min="9226" max="9226" width="22.42578125" style="128" customWidth="1"/>
    <col min="9227" max="9227" width="10.85546875" style="128" customWidth="1"/>
    <col min="9228" max="9472" width="9.140625" style="128"/>
    <col min="9473" max="9473" width="8.5703125" style="128" customWidth="1"/>
    <col min="9474" max="9474" width="15" style="128" customWidth="1"/>
    <col min="9475" max="9475" width="27.28515625" style="128" customWidth="1"/>
    <col min="9476" max="9476" width="50.140625" style="128" customWidth="1"/>
    <col min="9477" max="9477" width="28" style="128" customWidth="1"/>
    <col min="9478" max="9478" width="11.5703125" style="128" customWidth="1"/>
    <col min="9479" max="9479" width="11.42578125" style="128" customWidth="1"/>
    <col min="9480" max="9480" width="10.140625" style="128" bestFit="1" customWidth="1"/>
    <col min="9481" max="9481" width="9.140625" style="128"/>
    <col min="9482" max="9482" width="22.42578125" style="128" customWidth="1"/>
    <col min="9483" max="9483" width="10.85546875" style="128" customWidth="1"/>
    <col min="9484" max="9728" width="9.140625" style="128"/>
    <col min="9729" max="9729" width="8.5703125" style="128" customWidth="1"/>
    <col min="9730" max="9730" width="15" style="128" customWidth="1"/>
    <col min="9731" max="9731" width="27.28515625" style="128" customWidth="1"/>
    <col min="9732" max="9732" width="50.140625" style="128" customWidth="1"/>
    <col min="9733" max="9733" width="28" style="128" customWidth="1"/>
    <col min="9734" max="9734" width="11.5703125" style="128" customWidth="1"/>
    <col min="9735" max="9735" width="11.42578125" style="128" customWidth="1"/>
    <col min="9736" max="9736" width="10.140625" style="128" bestFit="1" customWidth="1"/>
    <col min="9737" max="9737" width="9.140625" style="128"/>
    <col min="9738" max="9738" width="22.42578125" style="128" customWidth="1"/>
    <col min="9739" max="9739" width="10.85546875" style="128" customWidth="1"/>
    <col min="9740" max="9984" width="9.140625" style="128"/>
    <col min="9985" max="9985" width="8.5703125" style="128" customWidth="1"/>
    <col min="9986" max="9986" width="15" style="128" customWidth="1"/>
    <col min="9987" max="9987" width="27.28515625" style="128" customWidth="1"/>
    <col min="9988" max="9988" width="50.140625" style="128" customWidth="1"/>
    <col min="9989" max="9989" width="28" style="128" customWidth="1"/>
    <col min="9990" max="9990" width="11.5703125" style="128" customWidth="1"/>
    <col min="9991" max="9991" width="11.42578125" style="128" customWidth="1"/>
    <col min="9992" max="9992" width="10.140625" style="128" bestFit="1" customWidth="1"/>
    <col min="9993" max="9993" width="9.140625" style="128"/>
    <col min="9994" max="9994" width="22.42578125" style="128" customWidth="1"/>
    <col min="9995" max="9995" width="10.85546875" style="128" customWidth="1"/>
    <col min="9996" max="10240" width="9.140625" style="128"/>
    <col min="10241" max="10241" width="8.5703125" style="128" customWidth="1"/>
    <col min="10242" max="10242" width="15" style="128" customWidth="1"/>
    <col min="10243" max="10243" width="27.28515625" style="128" customWidth="1"/>
    <col min="10244" max="10244" width="50.140625" style="128" customWidth="1"/>
    <col min="10245" max="10245" width="28" style="128" customWidth="1"/>
    <col min="10246" max="10246" width="11.5703125" style="128" customWidth="1"/>
    <col min="10247" max="10247" width="11.42578125" style="128" customWidth="1"/>
    <col min="10248" max="10248" width="10.140625" style="128" bestFit="1" customWidth="1"/>
    <col min="10249" max="10249" width="9.140625" style="128"/>
    <col min="10250" max="10250" width="22.42578125" style="128" customWidth="1"/>
    <col min="10251" max="10251" width="10.85546875" style="128" customWidth="1"/>
    <col min="10252" max="10496" width="9.140625" style="128"/>
    <col min="10497" max="10497" width="8.5703125" style="128" customWidth="1"/>
    <col min="10498" max="10498" width="15" style="128" customWidth="1"/>
    <col min="10499" max="10499" width="27.28515625" style="128" customWidth="1"/>
    <col min="10500" max="10500" width="50.140625" style="128" customWidth="1"/>
    <col min="10501" max="10501" width="28" style="128" customWidth="1"/>
    <col min="10502" max="10502" width="11.5703125" style="128" customWidth="1"/>
    <col min="10503" max="10503" width="11.42578125" style="128" customWidth="1"/>
    <col min="10504" max="10504" width="10.140625" style="128" bestFit="1" customWidth="1"/>
    <col min="10505" max="10505" width="9.140625" style="128"/>
    <col min="10506" max="10506" width="22.42578125" style="128" customWidth="1"/>
    <col min="10507" max="10507" width="10.85546875" style="128" customWidth="1"/>
    <col min="10508" max="10752" width="9.140625" style="128"/>
    <col min="10753" max="10753" width="8.5703125" style="128" customWidth="1"/>
    <col min="10754" max="10754" width="15" style="128" customWidth="1"/>
    <col min="10755" max="10755" width="27.28515625" style="128" customWidth="1"/>
    <col min="10756" max="10756" width="50.140625" style="128" customWidth="1"/>
    <col min="10757" max="10757" width="28" style="128" customWidth="1"/>
    <col min="10758" max="10758" width="11.5703125" style="128" customWidth="1"/>
    <col min="10759" max="10759" width="11.42578125" style="128" customWidth="1"/>
    <col min="10760" max="10760" width="10.140625" style="128" bestFit="1" customWidth="1"/>
    <col min="10761" max="10761" width="9.140625" style="128"/>
    <col min="10762" max="10762" width="22.42578125" style="128" customWidth="1"/>
    <col min="10763" max="10763" width="10.85546875" style="128" customWidth="1"/>
    <col min="10764" max="11008" width="9.140625" style="128"/>
    <col min="11009" max="11009" width="8.5703125" style="128" customWidth="1"/>
    <col min="11010" max="11010" width="15" style="128" customWidth="1"/>
    <col min="11011" max="11011" width="27.28515625" style="128" customWidth="1"/>
    <col min="11012" max="11012" width="50.140625" style="128" customWidth="1"/>
    <col min="11013" max="11013" width="28" style="128" customWidth="1"/>
    <col min="11014" max="11014" width="11.5703125" style="128" customWidth="1"/>
    <col min="11015" max="11015" width="11.42578125" style="128" customWidth="1"/>
    <col min="11016" max="11016" width="10.140625" style="128" bestFit="1" customWidth="1"/>
    <col min="11017" max="11017" width="9.140625" style="128"/>
    <col min="11018" max="11018" width="22.42578125" style="128" customWidth="1"/>
    <col min="11019" max="11019" width="10.85546875" style="128" customWidth="1"/>
    <col min="11020" max="11264" width="9.140625" style="128"/>
    <col min="11265" max="11265" width="8.5703125" style="128" customWidth="1"/>
    <col min="11266" max="11266" width="15" style="128" customWidth="1"/>
    <col min="11267" max="11267" width="27.28515625" style="128" customWidth="1"/>
    <col min="11268" max="11268" width="50.140625" style="128" customWidth="1"/>
    <col min="11269" max="11269" width="28" style="128" customWidth="1"/>
    <col min="11270" max="11270" width="11.5703125" style="128" customWidth="1"/>
    <col min="11271" max="11271" width="11.42578125" style="128" customWidth="1"/>
    <col min="11272" max="11272" width="10.140625" style="128" bestFit="1" customWidth="1"/>
    <col min="11273" max="11273" width="9.140625" style="128"/>
    <col min="11274" max="11274" width="22.42578125" style="128" customWidth="1"/>
    <col min="11275" max="11275" width="10.85546875" style="128" customWidth="1"/>
    <col min="11276" max="11520" width="9.140625" style="128"/>
    <col min="11521" max="11521" width="8.5703125" style="128" customWidth="1"/>
    <col min="11522" max="11522" width="15" style="128" customWidth="1"/>
    <col min="11523" max="11523" width="27.28515625" style="128" customWidth="1"/>
    <col min="11524" max="11524" width="50.140625" style="128" customWidth="1"/>
    <col min="11525" max="11525" width="28" style="128" customWidth="1"/>
    <col min="11526" max="11526" width="11.5703125" style="128" customWidth="1"/>
    <col min="11527" max="11527" width="11.42578125" style="128" customWidth="1"/>
    <col min="11528" max="11528" width="10.140625" style="128" bestFit="1" customWidth="1"/>
    <col min="11529" max="11529" width="9.140625" style="128"/>
    <col min="11530" max="11530" width="22.42578125" style="128" customWidth="1"/>
    <col min="11531" max="11531" width="10.85546875" style="128" customWidth="1"/>
    <col min="11532" max="11776" width="9.140625" style="128"/>
    <col min="11777" max="11777" width="8.5703125" style="128" customWidth="1"/>
    <col min="11778" max="11778" width="15" style="128" customWidth="1"/>
    <col min="11779" max="11779" width="27.28515625" style="128" customWidth="1"/>
    <col min="11780" max="11780" width="50.140625" style="128" customWidth="1"/>
    <col min="11781" max="11781" width="28" style="128" customWidth="1"/>
    <col min="11782" max="11782" width="11.5703125" style="128" customWidth="1"/>
    <col min="11783" max="11783" width="11.42578125" style="128" customWidth="1"/>
    <col min="11784" max="11784" width="10.140625" style="128" bestFit="1" customWidth="1"/>
    <col min="11785" max="11785" width="9.140625" style="128"/>
    <col min="11786" max="11786" width="22.42578125" style="128" customWidth="1"/>
    <col min="11787" max="11787" width="10.85546875" style="128" customWidth="1"/>
    <col min="11788" max="12032" width="9.140625" style="128"/>
    <col min="12033" max="12033" width="8.5703125" style="128" customWidth="1"/>
    <col min="12034" max="12034" width="15" style="128" customWidth="1"/>
    <col min="12035" max="12035" width="27.28515625" style="128" customWidth="1"/>
    <col min="12036" max="12036" width="50.140625" style="128" customWidth="1"/>
    <col min="12037" max="12037" width="28" style="128" customWidth="1"/>
    <col min="12038" max="12038" width="11.5703125" style="128" customWidth="1"/>
    <col min="12039" max="12039" width="11.42578125" style="128" customWidth="1"/>
    <col min="12040" max="12040" width="10.140625" style="128" bestFit="1" customWidth="1"/>
    <col min="12041" max="12041" width="9.140625" style="128"/>
    <col min="12042" max="12042" width="22.42578125" style="128" customWidth="1"/>
    <col min="12043" max="12043" width="10.85546875" style="128" customWidth="1"/>
    <col min="12044" max="12288" width="9.140625" style="128"/>
    <col min="12289" max="12289" width="8.5703125" style="128" customWidth="1"/>
    <col min="12290" max="12290" width="15" style="128" customWidth="1"/>
    <col min="12291" max="12291" width="27.28515625" style="128" customWidth="1"/>
    <col min="12292" max="12292" width="50.140625" style="128" customWidth="1"/>
    <col min="12293" max="12293" width="28" style="128" customWidth="1"/>
    <col min="12294" max="12294" width="11.5703125" style="128" customWidth="1"/>
    <col min="12295" max="12295" width="11.42578125" style="128" customWidth="1"/>
    <col min="12296" max="12296" width="10.140625" style="128" bestFit="1" customWidth="1"/>
    <col min="12297" max="12297" width="9.140625" style="128"/>
    <col min="12298" max="12298" width="22.42578125" style="128" customWidth="1"/>
    <col min="12299" max="12299" width="10.85546875" style="128" customWidth="1"/>
    <col min="12300" max="12544" width="9.140625" style="128"/>
    <col min="12545" max="12545" width="8.5703125" style="128" customWidth="1"/>
    <col min="12546" max="12546" width="15" style="128" customWidth="1"/>
    <col min="12547" max="12547" width="27.28515625" style="128" customWidth="1"/>
    <col min="12548" max="12548" width="50.140625" style="128" customWidth="1"/>
    <col min="12549" max="12549" width="28" style="128" customWidth="1"/>
    <col min="12550" max="12550" width="11.5703125" style="128" customWidth="1"/>
    <col min="12551" max="12551" width="11.42578125" style="128" customWidth="1"/>
    <col min="12552" max="12552" width="10.140625" style="128" bestFit="1" customWidth="1"/>
    <col min="12553" max="12553" width="9.140625" style="128"/>
    <col min="12554" max="12554" width="22.42578125" style="128" customWidth="1"/>
    <col min="12555" max="12555" width="10.85546875" style="128" customWidth="1"/>
    <col min="12556" max="12800" width="9.140625" style="128"/>
    <col min="12801" max="12801" width="8.5703125" style="128" customWidth="1"/>
    <col min="12802" max="12802" width="15" style="128" customWidth="1"/>
    <col min="12803" max="12803" width="27.28515625" style="128" customWidth="1"/>
    <col min="12804" max="12804" width="50.140625" style="128" customWidth="1"/>
    <col min="12805" max="12805" width="28" style="128" customWidth="1"/>
    <col min="12806" max="12806" width="11.5703125" style="128" customWidth="1"/>
    <col min="12807" max="12807" width="11.42578125" style="128" customWidth="1"/>
    <col min="12808" max="12808" width="10.140625" style="128" bestFit="1" customWidth="1"/>
    <col min="12809" max="12809" width="9.140625" style="128"/>
    <col min="12810" max="12810" width="22.42578125" style="128" customWidth="1"/>
    <col min="12811" max="12811" width="10.85546875" style="128" customWidth="1"/>
    <col min="12812" max="13056" width="9.140625" style="128"/>
    <col min="13057" max="13057" width="8.5703125" style="128" customWidth="1"/>
    <col min="13058" max="13058" width="15" style="128" customWidth="1"/>
    <col min="13059" max="13059" width="27.28515625" style="128" customWidth="1"/>
    <col min="13060" max="13060" width="50.140625" style="128" customWidth="1"/>
    <col min="13061" max="13061" width="28" style="128" customWidth="1"/>
    <col min="13062" max="13062" width="11.5703125" style="128" customWidth="1"/>
    <col min="13063" max="13063" width="11.42578125" style="128" customWidth="1"/>
    <col min="13064" max="13064" width="10.140625" style="128" bestFit="1" customWidth="1"/>
    <col min="13065" max="13065" width="9.140625" style="128"/>
    <col min="13066" max="13066" width="22.42578125" style="128" customWidth="1"/>
    <col min="13067" max="13067" width="10.85546875" style="128" customWidth="1"/>
    <col min="13068" max="13312" width="9.140625" style="128"/>
    <col min="13313" max="13313" width="8.5703125" style="128" customWidth="1"/>
    <col min="13314" max="13314" width="15" style="128" customWidth="1"/>
    <col min="13315" max="13315" width="27.28515625" style="128" customWidth="1"/>
    <col min="13316" max="13316" width="50.140625" style="128" customWidth="1"/>
    <col min="13317" max="13317" width="28" style="128" customWidth="1"/>
    <col min="13318" max="13318" width="11.5703125" style="128" customWidth="1"/>
    <col min="13319" max="13319" width="11.42578125" style="128" customWidth="1"/>
    <col min="13320" max="13320" width="10.140625" style="128" bestFit="1" customWidth="1"/>
    <col min="13321" max="13321" width="9.140625" style="128"/>
    <col min="13322" max="13322" width="22.42578125" style="128" customWidth="1"/>
    <col min="13323" max="13323" width="10.85546875" style="128" customWidth="1"/>
    <col min="13324" max="13568" width="9.140625" style="128"/>
    <col min="13569" max="13569" width="8.5703125" style="128" customWidth="1"/>
    <col min="13570" max="13570" width="15" style="128" customWidth="1"/>
    <col min="13571" max="13571" width="27.28515625" style="128" customWidth="1"/>
    <col min="13572" max="13572" width="50.140625" style="128" customWidth="1"/>
    <col min="13573" max="13573" width="28" style="128" customWidth="1"/>
    <col min="13574" max="13574" width="11.5703125" style="128" customWidth="1"/>
    <col min="13575" max="13575" width="11.42578125" style="128" customWidth="1"/>
    <col min="13576" max="13576" width="10.140625" style="128" bestFit="1" customWidth="1"/>
    <col min="13577" max="13577" width="9.140625" style="128"/>
    <col min="13578" max="13578" width="22.42578125" style="128" customWidth="1"/>
    <col min="13579" max="13579" width="10.85546875" style="128" customWidth="1"/>
    <col min="13580" max="13824" width="9.140625" style="128"/>
    <col min="13825" max="13825" width="8.5703125" style="128" customWidth="1"/>
    <col min="13826" max="13826" width="15" style="128" customWidth="1"/>
    <col min="13827" max="13827" width="27.28515625" style="128" customWidth="1"/>
    <col min="13828" max="13828" width="50.140625" style="128" customWidth="1"/>
    <col min="13829" max="13829" width="28" style="128" customWidth="1"/>
    <col min="13830" max="13830" width="11.5703125" style="128" customWidth="1"/>
    <col min="13831" max="13831" width="11.42578125" style="128" customWidth="1"/>
    <col min="13832" max="13832" width="10.140625" style="128" bestFit="1" customWidth="1"/>
    <col min="13833" max="13833" width="9.140625" style="128"/>
    <col min="13834" max="13834" width="22.42578125" style="128" customWidth="1"/>
    <col min="13835" max="13835" width="10.85546875" style="128" customWidth="1"/>
    <col min="13836" max="14080" width="9.140625" style="128"/>
    <col min="14081" max="14081" width="8.5703125" style="128" customWidth="1"/>
    <col min="14082" max="14082" width="15" style="128" customWidth="1"/>
    <col min="14083" max="14083" width="27.28515625" style="128" customWidth="1"/>
    <col min="14084" max="14084" width="50.140625" style="128" customWidth="1"/>
    <col min="14085" max="14085" width="28" style="128" customWidth="1"/>
    <col min="14086" max="14086" width="11.5703125" style="128" customWidth="1"/>
    <col min="14087" max="14087" width="11.42578125" style="128" customWidth="1"/>
    <col min="14088" max="14088" width="10.140625" style="128" bestFit="1" customWidth="1"/>
    <col min="14089" max="14089" width="9.140625" style="128"/>
    <col min="14090" max="14090" width="22.42578125" style="128" customWidth="1"/>
    <col min="14091" max="14091" width="10.85546875" style="128" customWidth="1"/>
    <col min="14092" max="14336" width="9.140625" style="128"/>
    <col min="14337" max="14337" width="8.5703125" style="128" customWidth="1"/>
    <col min="14338" max="14338" width="15" style="128" customWidth="1"/>
    <col min="14339" max="14339" width="27.28515625" style="128" customWidth="1"/>
    <col min="14340" max="14340" width="50.140625" style="128" customWidth="1"/>
    <col min="14341" max="14341" width="28" style="128" customWidth="1"/>
    <col min="14342" max="14342" width="11.5703125" style="128" customWidth="1"/>
    <col min="14343" max="14343" width="11.42578125" style="128" customWidth="1"/>
    <col min="14344" max="14344" width="10.140625" style="128" bestFit="1" customWidth="1"/>
    <col min="14345" max="14345" width="9.140625" style="128"/>
    <col min="14346" max="14346" width="22.42578125" style="128" customWidth="1"/>
    <col min="14347" max="14347" width="10.85546875" style="128" customWidth="1"/>
    <col min="14348" max="14592" width="9.140625" style="128"/>
    <col min="14593" max="14593" width="8.5703125" style="128" customWidth="1"/>
    <col min="14594" max="14594" width="15" style="128" customWidth="1"/>
    <col min="14595" max="14595" width="27.28515625" style="128" customWidth="1"/>
    <col min="14596" max="14596" width="50.140625" style="128" customWidth="1"/>
    <col min="14597" max="14597" width="28" style="128" customWidth="1"/>
    <col min="14598" max="14598" width="11.5703125" style="128" customWidth="1"/>
    <col min="14599" max="14599" width="11.42578125" style="128" customWidth="1"/>
    <col min="14600" max="14600" width="10.140625" style="128" bestFit="1" customWidth="1"/>
    <col min="14601" max="14601" width="9.140625" style="128"/>
    <col min="14602" max="14602" width="22.42578125" style="128" customWidth="1"/>
    <col min="14603" max="14603" width="10.85546875" style="128" customWidth="1"/>
    <col min="14604" max="14848" width="9.140625" style="128"/>
    <col min="14849" max="14849" width="8.5703125" style="128" customWidth="1"/>
    <col min="14850" max="14850" width="15" style="128" customWidth="1"/>
    <col min="14851" max="14851" width="27.28515625" style="128" customWidth="1"/>
    <col min="14852" max="14852" width="50.140625" style="128" customWidth="1"/>
    <col min="14853" max="14853" width="28" style="128" customWidth="1"/>
    <col min="14854" max="14854" width="11.5703125" style="128" customWidth="1"/>
    <col min="14855" max="14855" width="11.42578125" style="128" customWidth="1"/>
    <col min="14856" max="14856" width="10.140625" style="128" bestFit="1" customWidth="1"/>
    <col min="14857" max="14857" width="9.140625" style="128"/>
    <col min="14858" max="14858" width="22.42578125" style="128" customWidth="1"/>
    <col min="14859" max="14859" width="10.85546875" style="128" customWidth="1"/>
    <col min="14860" max="15104" width="9.140625" style="128"/>
    <col min="15105" max="15105" width="8.5703125" style="128" customWidth="1"/>
    <col min="15106" max="15106" width="15" style="128" customWidth="1"/>
    <col min="15107" max="15107" width="27.28515625" style="128" customWidth="1"/>
    <col min="15108" max="15108" width="50.140625" style="128" customWidth="1"/>
    <col min="15109" max="15109" width="28" style="128" customWidth="1"/>
    <col min="15110" max="15110" width="11.5703125" style="128" customWidth="1"/>
    <col min="15111" max="15111" width="11.42578125" style="128" customWidth="1"/>
    <col min="15112" max="15112" width="10.140625" style="128" bestFit="1" customWidth="1"/>
    <col min="15113" max="15113" width="9.140625" style="128"/>
    <col min="15114" max="15114" width="22.42578125" style="128" customWidth="1"/>
    <col min="15115" max="15115" width="10.85546875" style="128" customWidth="1"/>
    <col min="15116" max="15360" width="9.140625" style="128"/>
    <col min="15361" max="15361" width="8.5703125" style="128" customWidth="1"/>
    <col min="15362" max="15362" width="15" style="128" customWidth="1"/>
    <col min="15363" max="15363" width="27.28515625" style="128" customWidth="1"/>
    <col min="15364" max="15364" width="50.140625" style="128" customWidth="1"/>
    <col min="15365" max="15365" width="28" style="128" customWidth="1"/>
    <col min="15366" max="15366" width="11.5703125" style="128" customWidth="1"/>
    <col min="15367" max="15367" width="11.42578125" style="128" customWidth="1"/>
    <col min="15368" max="15368" width="10.140625" style="128" bestFit="1" customWidth="1"/>
    <col min="15369" max="15369" width="9.140625" style="128"/>
    <col min="15370" max="15370" width="22.42578125" style="128" customWidth="1"/>
    <col min="15371" max="15371" width="10.85546875" style="128" customWidth="1"/>
    <col min="15372" max="15616" width="9.140625" style="128"/>
    <col min="15617" max="15617" width="8.5703125" style="128" customWidth="1"/>
    <col min="15618" max="15618" width="15" style="128" customWidth="1"/>
    <col min="15619" max="15619" width="27.28515625" style="128" customWidth="1"/>
    <col min="15620" max="15620" width="50.140625" style="128" customWidth="1"/>
    <col min="15621" max="15621" width="28" style="128" customWidth="1"/>
    <col min="15622" max="15622" width="11.5703125" style="128" customWidth="1"/>
    <col min="15623" max="15623" width="11.42578125" style="128" customWidth="1"/>
    <col min="15624" max="15624" width="10.140625" style="128" bestFit="1" customWidth="1"/>
    <col min="15625" max="15625" width="9.140625" style="128"/>
    <col min="15626" max="15626" width="22.42578125" style="128" customWidth="1"/>
    <col min="15627" max="15627" width="10.85546875" style="128" customWidth="1"/>
    <col min="15628" max="15872" width="9.140625" style="128"/>
    <col min="15873" max="15873" width="8.5703125" style="128" customWidth="1"/>
    <col min="15874" max="15874" width="15" style="128" customWidth="1"/>
    <col min="15875" max="15875" width="27.28515625" style="128" customWidth="1"/>
    <col min="15876" max="15876" width="50.140625" style="128" customWidth="1"/>
    <col min="15877" max="15877" width="28" style="128" customWidth="1"/>
    <col min="15878" max="15878" width="11.5703125" style="128" customWidth="1"/>
    <col min="15879" max="15879" width="11.42578125" style="128" customWidth="1"/>
    <col min="15880" max="15880" width="10.140625" style="128" bestFit="1" customWidth="1"/>
    <col min="15881" max="15881" width="9.140625" style="128"/>
    <col min="15882" max="15882" width="22.42578125" style="128" customWidth="1"/>
    <col min="15883" max="15883" width="10.85546875" style="128" customWidth="1"/>
    <col min="15884" max="16128" width="9.140625" style="128"/>
    <col min="16129" max="16129" width="8.5703125" style="128" customWidth="1"/>
    <col min="16130" max="16130" width="15" style="128" customWidth="1"/>
    <col min="16131" max="16131" width="27.28515625" style="128" customWidth="1"/>
    <col min="16132" max="16132" width="50.140625" style="128" customWidth="1"/>
    <col min="16133" max="16133" width="28" style="128" customWidth="1"/>
    <col min="16134" max="16134" width="11.5703125" style="128" customWidth="1"/>
    <col min="16135" max="16135" width="11.42578125" style="128" customWidth="1"/>
    <col min="16136" max="16136" width="10.140625" style="128" bestFit="1" customWidth="1"/>
    <col min="16137" max="16137" width="9.140625" style="128"/>
    <col min="16138" max="16138" width="22.42578125" style="128" customWidth="1"/>
    <col min="16139" max="16139" width="10.85546875" style="128" customWidth="1"/>
    <col min="16140" max="16384" width="9.140625" style="128"/>
  </cols>
  <sheetData>
    <row r="1" spans="1:12" s="118" customFormat="1">
      <c r="A1" s="143" t="s">
        <v>640</v>
      </c>
      <c r="B1" s="144" t="s">
        <v>641</v>
      </c>
      <c r="C1" s="145" t="s">
        <v>642</v>
      </c>
      <c r="D1" s="146" t="s">
        <v>643</v>
      </c>
      <c r="E1" s="147" t="s">
        <v>644</v>
      </c>
      <c r="F1" s="148" t="s">
        <v>645</v>
      </c>
      <c r="G1" s="148" t="s">
        <v>646</v>
      </c>
      <c r="H1" s="149" t="s">
        <v>647</v>
      </c>
      <c r="I1" s="145" t="s">
        <v>648</v>
      </c>
      <c r="J1" s="147" t="s">
        <v>649</v>
      </c>
      <c r="K1" s="150" t="s">
        <v>650</v>
      </c>
    </row>
    <row r="2" spans="1:12" s="124" customFormat="1">
      <c r="A2" s="137" t="s">
        <v>651</v>
      </c>
      <c r="B2" s="120">
        <v>43207</v>
      </c>
      <c r="C2" s="119" t="s">
        <v>652</v>
      </c>
      <c r="D2" s="119" t="s">
        <v>653</v>
      </c>
      <c r="E2" s="119" t="s">
        <v>654</v>
      </c>
      <c r="F2" s="121">
        <v>158179.98000000001</v>
      </c>
      <c r="G2" s="121">
        <v>158179.98000000001</v>
      </c>
      <c r="H2" s="122">
        <v>43795</v>
      </c>
      <c r="I2" s="123">
        <v>8</v>
      </c>
      <c r="J2" s="119" t="s">
        <v>655</v>
      </c>
      <c r="K2" s="139" t="s">
        <v>656</v>
      </c>
    </row>
    <row r="3" spans="1:12" hidden="1">
      <c r="A3" s="137" t="s">
        <v>657</v>
      </c>
      <c r="B3" s="120">
        <v>43201</v>
      </c>
      <c r="C3" s="119" t="s">
        <v>658</v>
      </c>
      <c r="D3" s="119" t="s">
        <v>659</v>
      </c>
      <c r="E3" s="125" t="s">
        <v>660</v>
      </c>
      <c r="F3" s="121">
        <v>122211.58</v>
      </c>
      <c r="G3" s="121">
        <v>122211.58</v>
      </c>
      <c r="H3" s="122">
        <v>44498</v>
      </c>
      <c r="I3" s="126">
        <v>4</v>
      </c>
      <c r="J3" s="127" t="s">
        <v>661</v>
      </c>
      <c r="K3" s="140" t="s">
        <v>662</v>
      </c>
    </row>
    <row r="4" spans="1:12" s="124" customFormat="1">
      <c r="A4" s="137" t="s">
        <v>663</v>
      </c>
      <c r="B4" s="120">
        <v>43263</v>
      </c>
      <c r="C4" s="119" t="s">
        <v>664</v>
      </c>
      <c r="D4" s="119" t="s">
        <v>665</v>
      </c>
      <c r="E4" s="119" t="s">
        <v>666</v>
      </c>
      <c r="F4" s="121">
        <v>21753.42</v>
      </c>
      <c r="G4" s="121">
        <v>21753.42</v>
      </c>
      <c r="H4" s="122">
        <v>43819</v>
      </c>
      <c r="I4" s="123">
        <v>8</v>
      </c>
      <c r="J4" s="119" t="s">
        <v>667</v>
      </c>
      <c r="K4" s="139" t="s">
        <v>668</v>
      </c>
    </row>
    <row r="5" spans="1:12" s="124" customFormat="1" hidden="1">
      <c r="A5" s="137" t="s">
        <v>669</v>
      </c>
      <c r="B5" s="120">
        <v>43403</v>
      </c>
      <c r="C5" s="119" t="s">
        <v>670</v>
      </c>
      <c r="D5" s="119" t="s">
        <v>671</v>
      </c>
      <c r="E5" s="119" t="s">
        <v>672</v>
      </c>
      <c r="F5" s="121">
        <v>200583.47</v>
      </c>
      <c r="G5" s="121"/>
      <c r="H5" s="122"/>
      <c r="I5" s="123">
        <v>7</v>
      </c>
      <c r="J5" s="119" t="s">
        <v>673</v>
      </c>
      <c r="K5" s="141" t="s">
        <v>662</v>
      </c>
    </row>
    <row r="6" spans="1:12" s="124" customFormat="1" hidden="1">
      <c r="A6" s="137" t="s">
        <v>674</v>
      </c>
      <c r="B6" s="120">
        <v>43452</v>
      </c>
      <c r="C6" s="119" t="s">
        <v>675</v>
      </c>
      <c r="D6" s="119" t="s">
        <v>676</v>
      </c>
      <c r="E6" s="119" t="s">
        <v>677</v>
      </c>
      <c r="F6" s="121">
        <v>107564.64</v>
      </c>
      <c r="G6" s="121">
        <v>107564.64</v>
      </c>
      <c r="H6" s="122">
        <v>44644</v>
      </c>
      <c r="I6" s="123">
        <v>3</v>
      </c>
      <c r="J6" s="119" t="s">
        <v>678</v>
      </c>
      <c r="K6" s="139" t="s">
        <v>679</v>
      </c>
    </row>
    <row r="7" spans="1:12" s="124" customFormat="1">
      <c r="A7" s="137" t="s">
        <v>680</v>
      </c>
      <c r="B7" s="120">
        <v>43643</v>
      </c>
      <c r="C7" s="119" t="s">
        <v>681</v>
      </c>
      <c r="D7" s="119" t="s">
        <v>682</v>
      </c>
      <c r="E7" s="119" t="s">
        <v>683</v>
      </c>
      <c r="F7" s="121">
        <v>909081.73</v>
      </c>
      <c r="G7" s="121"/>
      <c r="H7" s="122"/>
      <c r="I7" s="123">
        <v>8</v>
      </c>
      <c r="J7" s="119" t="s">
        <v>684</v>
      </c>
      <c r="K7" s="139" t="s">
        <v>685</v>
      </c>
    </row>
    <row r="8" spans="1:12" hidden="1">
      <c r="A8" s="137" t="s">
        <v>686</v>
      </c>
      <c r="B8" s="120">
        <v>43690</v>
      </c>
      <c r="C8" s="119" t="s">
        <v>687</v>
      </c>
      <c r="D8" s="119" t="s">
        <v>688</v>
      </c>
      <c r="E8" s="119" t="s">
        <v>689</v>
      </c>
      <c r="F8" s="121">
        <v>124475.7</v>
      </c>
      <c r="G8" s="121">
        <v>124475.7</v>
      </c>
      <c r="H8" s="122">
        <v>44621</v>
      </c>
      <c r="I8" s="123">
        <v>2</v>
      </c>
      <c r="J8" s="127" t="s">
        <v>690</v>
      </c>
      <c r="K8" s="142" t="s">
        <v>691</v>
      </c>
    </row>
    <row r="9" spans="1:12" s="124" customFormat="1" hidden="1">
      <c r="A9" s="137" t="s">
        <v>692</v>
      </c>
      <c r="B9" s="120">
        <v>43677</v>
      </c>
      <c r="C9" s="119" t="s">
        <v>693</v>
      </c>
      <c r="D9" s="119" t="s">
        <v>694</v>
      </c>
      <c r="E9" s="119" t="s">
        <v>695</v>
      </c>
      <c r="F9" s="121">
        <v>153456.13</v>
      </c>
      <c r="G9" s="121"/>
      <c r="H9" s="122"/>
      <c r="I9" s="123">
        <v>3</v>
      </c>
      <c r="J9" s="119" t="s">
        <v>696</v>
      </c>
      <c r="K9" s="139" t="s">
        <v>697</v>
      </c>
    </row>
    <row r="10" spans="1:12" hidden="1">
      <c r="A10" s="137" t="s">
        <v>698</v>
      </c>
      <c r="B10" s="120">
        <v>43717</v>
      </c>
      <c r="C10" s="119" t="s">
        <v>699</v>
      </c>
      <c r="D10" s="119" t="s">
        <v>700</v>
      </c>
      <c r="E10" s="119" t="s">
        <v>701</v>
      </c>
      <c r="F10" s="121">
        <v>732049.67</v>
      </c>
      <c r="G10" s="121">
        <v>732049.67</v>
      </c>
      <c r="H10" s="122">
        <v>44508</v>
      </c>
      <c r="I10" s="126">
        <v>4</v>
      </c>
      <c r="J10" s="127" t="s">
        <v>702</v>
      </c>
      <c r="K10" s="142" t="s">
        <v>703</v>
      </c>
      <c r="L10" s="128" t="s">
        <v>704</v>
      </c>
    </row>
    <row r="11" spans="1:12" hidden="1">
      <c r="A11" s="137" t="s">
        <v>705</v>
      </c>
      <c r="B11" s="120">
        <v>43749</v>
      </c>
      <c r="C11" s="119" t="s">
        <v>706</v>
      </c>
      <c r="D11" s="119" t="s">
        <v>707</v>
      </c>
      <c r="E11" s="119" t="s">
        <v>708</v>
      </c>
      <c r="F11" s="121">
        <v>28649.3</v>
      </c>
      <c r="G11" s="121">
        <v>25000</v>
      </c>
      <c r="H11" s="122">
        <v>44307</v>
      </c>
      <c r="I11" s="126">
        <v>4</v>
      </c>
      <c r="J11" s="127" t="s">
        <v>709</v>
      </c>
      <c r="K11" s="142" t="s">
        <v>710</v>
      </c>
    </row>
    <row r="12" spans="1:12" s="124" customFormat="1" hidden="1">
      <c r="A12" s="137" t="s">
        <v>711</v>
      </c>
      <c r="B12" s="120">
        <v>43749</v>
      </c>
      <c r="C12" s="119" t="s">
        <v>712</v>
      </c>
      <c r="D12" s="119" t="s">
        <v>713</v>
      </c>
      <c r="E12" s="119" t="s">
        <v>714</v>
      </c>
      <c r="F12" s="121">
        <v>59169.93</v>
      </c>
      <c r="G12" s="121"/>
      <c r="H12" s="122"/>
      <c r="I12" s="123">
        <v>4</v>
      </c>
      <c r="J12" s="119" t="s">
        <v>715</v>
      </c>
      <c r="K12" s="139" t="s">
        <v>716</v>
      </c>
    </row>
    <row r="13" spans="1:12" s="124" customFormat="1">
      <c r="A13" s="137" t="s">
        <v>717</v>
      </c>
      <c r="B13" s="120">
        <v>43917</v>
      </c>
      <c r="C13" s="119" t="s">
        <v>718</v>
      </c>
      <c r="D13" s="119" t="s">
        <v>719</v>
      </c>
      <c r="E13" s="119" t="s">
        <v>720</v>
      </c>
      <c r="F13" s="121">
        <v>28819.81</v>
      </c>
      <c r="G13" s="121"/>
      <c r="H13" s="122"/>
      <c r="I13" s="123">
        <v>8</v>
      </c>
      <c r="J13" s="119" t="s">
        <v>721</v>
      </c>
      <c r="K13" s="139" t="s">
        <v>722</v>
      </c>
    </row>
    <row r="14" spans="1:12" hidden="1">
      <c r="A14" s="137" t="s">
        <v>723</v>
      </c>
      <c r="B14" s="120">
        <v>44056</v>
      </c>
      <c r="C14" s="119" t="s">
        <v>724</v>
      </c>
      <c r="D14" s="119" t="s">
        <v>725</v>
      </c>
      <c r="E14" s="119" t="s">
        <v>726</v>
      </c>
      <c r="F14" s="121">
        <v>57749.41</v>
      </c>
      <c r="G14" s="121">
        <v>57749.41</v>
      </c>
      <c r="H14" s="122">
        <v>44529</v>
      </c>
      <c r="I14" s="126">
        <v>2</v>
      </c>
      <c r="J14" s="127" t="s">
        <v>727</v>
      </c>
      <c r="K14" s="140" t="s">
        <v>662</v>
      </c>
    </row>
    <row r="15" spans="1:12" ht="13.5" hidden="1" customHeight="1">
      <c r="A15" s="137" t="s">
        <v>728</v>
      </c>
      <c r="B15" s="120">
        <v>44082</v>
      </c>
      <c r="C15" s="119" t="s">
        <v>729</v>
      </c>
      <c r="D15" s="119" t="s">
        <v>730</v>
      </c>
      <c r="E15" s="119" t="s">
        <v>731</v>
      </c>
      <c r="F15" s="121">
        <v>204532.08</v>
      </c>
      <c r="G15" s="121">
        <v>204532.08</v>
      </c>
      <c r="H15" s="122">
        <v>44673</v>
      </c>
      <c r="I15" s="123">
        <v>3</v>
      </c>
      <c r="J15" s="127" t="s">
        <v>732</v>
      </c>
      <c r="K15" s="140" t="s">
        <v>662</v>
      </c>
    </row>
    <row r="16" spans="1:12">
      <c r="A16" s="137" t="s">
        <v>733</v>
      </c>
      <c r="B16" s="120">
        <v>44152</v>
      </c>
      <c r="C16" s="119" t="s">
        <v>734</v>
      </c>
      <c r="D16" s="119" t="s">
        <v>735</v>
      </c>
      <c r="E16" s="119" t="s">
        <v>736</v>
      </c>
      <c r="F16" s="121">
        <v>61207.37</v>
      </c>
      <c r="G16" s="121">
        <v>61207.37</v>
      </c>
      <c r="H16" s="122">
        <v>44676</v>
      </c>
      <c r="I16" s="123">
        <v>8</v>
      </c>
      <c r="J16" s="127" t="s">
        <v>737</v>
      </c>
      <c r="K16" s="142" t="s">
        <v>738</v>
      </c>
    </row>
    <row r="17" spans="1:11" hidden="1">
      <c r="A17" s="138" t="s">
        <v>739</v>
      </c>
      <c r="B17" s="129">
        <v>44168</v>
      </c>
      <c r="C17" s="127" t="s">
        <v>740</v>
      </c>
      <c r="D17" s="127" t="s">
        <v>741</v>
      </c>
      <c r="E17" s="127" t="s">
        <v>742</v>
      </c>
      <c r="F17" s="130">
        <v>56289.4</v>
      </c>
      <c r="G17" s="130">
        <v>56289.4</v>
      </c>
      <c r="H17" s="131">
        <v>44782</v>
      </c>
      <c r="I17" s="126">
        <v>4</v>
      </c>
      <c r="J17" s="127" t="s">
        <v>743</v>
      </c>
      <c r="K17" s="142" t="s">
        <v>744</v>
      </c>
    </row>
    <row r="18" spans="1:11" s="124" customFormat="1">
      <c r="A18" s="137" t="s">
        <v>745</v>
      </c>
      <c r="B18" s="120">
        <v>44195</v>
      </c>
      <c r="C18" s="119" t="s">
        <v>746</v>
      </c>
      <c r="D18" s="119" t="s">
        <v>747</v>
      </c>
      <c r="E18" s="119" t="s">
        <v>748</v>
      </c>
      <c r="F18" s="121">
        <v>44263.01</v>
      </c>
      <c r="G18" s="121"/>
      <c r="H18" s="122"/>
      <c r="I18" s="123">
        <v>8</v>
      </c>
      <c r="J18" s="119" t="s">
        <v>749</v>
      </c>
      <c r="K18" s="141" t="s">
        <v>662</v>
      </c>
    </row>
    <row r="19" spans="1:11" s="124" customFormat="1" hidden="1">
      <c r="A19" s="137" t="s">
        <v>750</v>
      </c>
      <c r="B19" s="132">
        <v>44334</v>
      </c>
      <c r="C19" s="119" t="s">
        <v>751</v>
      </c>
      <c r="D19" s="119" t="s">
        <v>752</v>
      </c>
      <c r="E19" s="119" t="s">
        <v>753</v>
      </c>
      <c r="F19" s="121">
        <v>43560.72</v>
      </c>
      <c r="G19" s="121"/>
      <c r="H19" s="122"/>
      <c r="I19" s="123">
        <v>3</v>
      </c>
      <c r="J19" s="119" t="s">
        <v>754</v>
      </c>
      <c r="K19" s="139" t="s">
        <v>691</v>
      </c>
    </row>
    <row r="20" spans="1:11" hidden="1">
      <c r="A20" s="137" t="s">
        <v>755</v>
      </c>
      <c r="B20" s="132">
        <v>44404</v>
      </c>
      <c r="C20" s="119" t="s">
        <v>756</v>
      </c>
      <c r="D20" s="119" t="s">
        <v>757</v>
      </c>
      <c r="E20" s="119" t="s">
        <v>758</v>
      </c>
      <c r="F20" s="121">
        <v>33778.959999999999</v>
      </c>
      <c r="G20" s="121">
        <v>33778.959999999999</v>
      </c>
      <c r="H20" s="122">
        <v>44858</v>
      </c>
      <c r="I20" s="123">
        <v>7</v>
      </c>
      <c r="J20" s="127" t="s">
        <v>759</v>
      </c>
      <c r="K20" s="140" t="s">
        <v>662</v>
      </c>
    </row>
    <row r="21" spans="1:11" s="124" customFormat="1" hidden="1">
      <c r="A21" s="137" t="s">
        <v>760</v>
      </c>
      <c r="B21" s="132">
        <v>44420</v>
      </c>
      <c r="C21" s="119" t="s">
        <v>761</v>
      </c>
      <c r="D21" s="119" t="s">
        <v>762</v>
      </c>
      <c r="E21" s="119" t="s">
        <v>763</v>
      </c>
      <c r="F21" s="121">
        <v>319679.74</v>
      </c>
      <c r="G21" s="121"/>
      <c r="H21" s="122"/>
      <c r="I21" s="123">
        <v>7</v>
      </c>
      <c r="J21" s="119" t="s">
        <v>764</v>
      </c>
      <c r="K21" s="139" t="s">
        <v>703</v>
      </c>
    </row>
    <row r="22" spans="1:11" s="124" customFormat="1">
      <c r="A22" s="137" t="s">
        <v>765</v>
      </c>
      <c r="B22" s="132">
        <v>44468</v>
      </c>
      <c r="C22" s="119" t="s">
        <v>766</v>
      </c>
      <c r="D22" s="119" t="s">
        <v>767</v>
      </c>
      <c r="E22" s="119" t="s">
        <v>768</v>
      </c>
      <c r="F22" s="121">
        <v>70997.740000000005</v>
      </c>
      <c r="G22" s="121"/>
      <c r="H22" s="122"/>
      <c r="I22" s="123">
        <v>8</v>
      </c>
      <c r="J22" s="119" t="s">
        <v>769</v>
      </c>
      <c r="K22" s="139" t="s">
        <v>770</v>
      </c>
    </row>
    <row r="23" spans="1:11" s="124" customFormat="1">
      <c r="A23" s="137" t="s">
        <v>771</v>
      </c>
      <c r="B23" s="132">
        <v>44491</v>
      </c>
      <c r="C23" s="119" t="s">
        <v>772</v>
      </c>
      <c r="D23" s="119" t="s">
        <v>773</v>
      </c>
      <c r="E23" s="119" t="s">
        <v>774</v>
      </c>
      <c r="F23" s="121">
        <v>33578.06</v>
      </c>
      <c r="G23" s="121">
        <v>33578.06</v>
      </c>
      <c r="H23" s="122">
        <v>44929</v>
      </c>
      <c r="I23" s="123">
        <v>8</v>
      </c>
      <c r="J23" s="119" t="s">
        <v>775</v>
      </c>
      <c r="K23" s="139" t="s">
        <v>776</v>
      </c>
    </row>
    <row r="24" spans="1:11" s="124" customFormat="1" hidden="1">
      <c r="A24" s="137" t="s">
        <v>777</v>
      </c>
      <c r="B24" s="132">
        <v>44524</v>
      </c>
      <c r="C24" s="119" t="s">
        <v>778</v>
      </c>
      <c r="D24" s="119" t="s">
        <v>779</v>
      </c>
      <c r="E24" s="119" t="s">
        <v>780</v>
      </c>
      <c r="F24" s="121">
        <v>52868.23</v>
      </c>
      <c r="G24" s="121"/>
      <c r="H24" s="122"/>
      <c r="I24" s="123">
        <v>2</v>
      </c>
      <c r="J24" s="119" t="s">
        <v>781</v>
      </c>
      <c r="K24" s="139" t="s">
        <v>782</v>
      </c>
    </row>
    <row r="25" spans="1:11" s="124" customFormat="1">
      <c r="A25" s="137" t="s">
        <v>783</v>
      </c>
      <c r="B25" s="132">
        <v>44561</v>
      </c>
      <c r="C25" s="119" t="s">
        <v>784</v>
      </c>
      <c r="D25" s="119" t="s">
        <v>785</v>
      </c>
      <c r="E25" s="119" t="s">
        <v>654</v>
      </c>
      <c r="F25" s="121"/>
      <c r="G25" s="121"/>
      <c r="H25" s="122"/>
      <c r="I25" s="123">
        <v>8</v>
      </c>
      <c r="J25" s="119" t="s">
        <v>786</v>
      </c>
      <c r="K25" s="139" t="s">
        <v>656</v>
      </c>
    </row>
    <row r="26" spans="1:11" s="124" customFormat="1" hidden="1">
      <c r="A26" s="137" t="s">
        <v>787</v>
      </c>
      <c r="B26" s="132">
        <v>44602</v>
      </c>
      <c r="C26" s="119" t="s">
        <v>788</v>
      </c>
      <c r="D26" s="119" t="s">
        <v>789</v>
      </c>
      <c r="E26" s="119" t="s">
        <v>790</v>
      </c>
      <c r="F26" s="121">
        <v>244323.71</v>
      </c>
      <c r="G26" s="121"/>
      <c r="H26" s="122"/>
      <c r="I26" s="123">
        <v>7</v>
      </c>
      <c r="J26" s="119" t="s">
        <v>791</v>
      </c>
      <c r="K26" s="139" t="s">
        <v>792</v>
      </c>
    </row>
    <row r="27" spans="1:11" s="124" customFormat="1" hidden="1">
      <c r="A27" s="137" t="s">
        <v>793</v>
      </c>
      <c r="B27" s="132">
        <v>44609</v>
      </c>
      <c r="C27" s="119" t="s">
        <v>794</v>
      </c>
      <c r="D27" s="119" t="s">
        <v>795</v>
      </c>
      <c r="E27" s="119" t="s">
        <v>796</v>
      </c>
      <c r="F27" s="121"/>
      <c r="G27" s="121"/>
      <c r="H27" s="122"/>
      <c r="I27" s="123">
        <v>4</v>
      </c>
      <c r="J27" s="119" t="s">
        <v>797</v>
      </c>
      <c r="K27" s="139" t="s">
        <v>697</v>
      </c>
    </row>
    <row r="28" spans="1:11" s="124" customFormat="1">
      <c r="A28" s="137" t="s">
        <v>798</v>
      </c>
      <c r="B28" s="132">
        <v>44844</v>
      </c>
      <c r="C28" s="119" t="s">
        <v>799</v>
      </c>
      <c r="D28" s="119" t="s">
        <v>800</v>
      </c>
      <c r="E28" s="119" t="s">
        <v>801</v>
      </c>
      <c r="F28" s="121"/>
      <c r="G28" s="121"/>
      <c r="H28" s="122"/>
      <c r="I28" s="123">
        <v>8</v>
      </c>
      <c r="J28" s="119" t="s">
        <v>802</v>
      </c>
      <c r="K28" s="139" t="s">
        <v>803</v>
      </c>
    </row>
    <row r="29" spans="1:11" s="124" customFormat="1" hidden="1">
      <c r="A29" s="151" t="s">
        <v>804</v>
      </c>
      <c r="B29" s="152">
        <v>44938</v>
      </c>
      <c r="C29" s="153" t="s">
        <v>805</v>
      </c>
      <c r="D29" s="153" t="s">
        <v>806</v>
      </c>
      <c r="E29" s="153" t="s">
        <v>807</v>
      </c>
      <c r="F29" s="154"/>
      <c r="G29" s="154"/>
      <c r="H29" s="155"/>
      <c r="I29" s="156">
        <v>3</v>
      </c>
      <c r="J29" s="153"/>
      <c r="K29" s="157"/>
    </row>
    <row r="33" spans="5:6">
      <c r="E33" s="118" t="s">
        <v>808</v>
      </c>
    </row>
    <row r="34" spans="5:6">
      <c r="E34" s="128" t="s">
        <v>809</v>
      </c>
      <c r="F34" s="134">
        <f>F2+F4+F7+F13+F16+F18+F22+F23</f>
        <v>1327881.1200000001</v>
      </c>
    </row>
    <row r="35" spans="5:6">
      <c r="E35" s="128" t="s">
        <v>810</v>
      </c>
      <c r="F35" s="327">
        <v>8</v>
      </c>
    </row>
    <row r="36" spans="5:6">
      <c r="E36" s="128" t="s">
        <v>811</v>
      </c>
      <c r="F36" s="134">
        <f>F34/F35</f>
        <v>165985.14000000001</v>
      </c>
    </row>
  </sheetData>
  <sheetProtection selectLockedCells="1" selectUnlockedCells="1"/>
  <printOptions gridLines="1"/>
  <pageMargins left="0.75" right="0.75" top="1" bottom="1" header="0.5" footer="0.5"/>
  <pageSetup paperSize="5" scale="66" fitToHeight="0" orientation="landscape" r:id="rId1"/>
  <headerFooter alignWithMargins="0"/>
  <colBreaks count="1" manualBreakCount="1">
    <brk id="2" max="1048575" man="1"/>
  </colBreak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B5164-386C-41B5-BA8C-FB7356437A1D}">
  <sheetPr>
    <tabColor theme="7"/>
  </sheetPr>
  <dimension ref="A1:AJ157"/>
  <sheetViews>
    <sheetView workbookViewId="0">
      <pane xSplit="1" ySplit="10" topLeftCell="C11" activePane="bottomRight" state="frozen"/>
      <selection pane="bottomRight" activeCell="D6" sqref="D6"/>
      <selection pane="bottomLeft" activeCell="A5" sqref="A5"/>
      <selection pane="topRight" activeCell="B1" sqref="B1"/>
    </sheetView>
  </sheetViews>
  <sheetFormatPr defaultColWidth="9.140625" defaultRowHeight="14.25"/>
  <cols>
    <col min="1" max="1" width="10.85546875" style="1" customWidth="1"/>
    <col min="2" max="2" width="2.140625" style="1" hidden="1" customWidth="1"/>
    <col min="3" max="3" width="87.140625" style="1" bestFit="1" customWidth="1"/>
    <col min="4" max="4" width="22.7109375" style="1" bestFit="1" customWidth="1"/>
    <col min="5" max="5" width="21.85546875" style="1" customWidth="1"/>
    <col min="6" max="6" width="86" style="1" bestFit="1" customWidth="1"/>
    <col min="7" max="7" width="9.140625" style="1"/>
    <col min="8" max="8" width="16.85546875" style="1" bestFit="1" customWidth="1"/>
    <col min="9" max="36" width="13.28515625" style="1" bestFit="1" customWidth="1"/>
    <col min="37" max="16384" width="9.140625" style="1"/>
  </cols>
  <sheetData>
    <row r="1" spans="1:8" ht="19.5">
      <c r="A1" s="254" t="str">
        <f>Summary!$A$1</f>
        <v>Multimodal Improvements to Safely Connect Tulsa at US-75 and 81st Street Interchange</v>
      </c>
      <c r="B1" s="254"/>
    </row>
    <row r="2" spans="1:8" ht="19.5">
      <c r="A2" s="254" t="s">
        <v>40</v>
      </c>
      <c r="B2" s="254"/>
    </row>
    <row r="3" spans="1:8">
      <c r="A3" s="55">
        <f ca="1">TODAY()</f>
        <v>44984</v>
      </c>
      <c r="B3" s="55"/>
    </row>
    <row r="4" spans="1:8">
      <c r="A4" s="56" t="s">
        <v>2</v>
      </c>
      <c r="B4" s="56"/>
    </row>
    <row r="5" spans="1:8" ht="15" thickBot="1">
      <c r="A5" s="70" t="s">
        <v>3</v>
      </c>
      <c r="B5" s="70"/>
    </row>
    <row r="6" spans="1:8" ht="15.75" thickBot="1">
      <c r="A6" s="71" t="s">
        <v>4</v>
      </c>
      <c r="B6" s="71"/>
      <c r="C6" s="323" t="str">
        <f>Summary!$B$9</f>
        <v>Benefit Cost Ratio (7% disc.)</v>
      </c>
      <c r="D6" s="324">
        <f>Summary!$E$9</f>
        <v>1.4816410174706116</v>
      </c>
    </row>
    <row r="7" spans="1:8">
      <c r="A7" s="72" t="s">
        <v>5</v>
      </c>
      <c r="B7" s="72"/>
      <c r="C7" s="372" t="s">
        <v>7</v>
      </c>
      <c r="D7" s="1" t="str">
        <f>IF($B$153=0,"NO","YES")</f>
        <v>NO</v>
      </c>
    </row>
    <row r="8" spans="1:8">
      <c r="A8" s="284" t="s">
        <v>6</v>
      </c>
      <c r="B8" s="284"/>
    </row>
    <row r="9" spans="1:8">
      <c r="C9" s="21" t="str">
        <f>Summary!$B$21</f>
        <v>Emissions 7% discount factor includes 3% discount for CO2</v>
      </c>
    </row>
    <row r="10" spans="1:8" ht="18" thickBot="1">
      <c r="A10" s="46" t="s">
        <v>41</v>
      </c>
      <c r="B10" s="46"/>
      <c r="C10" s="46" t="s">
        <v>42</v>
      </c>
      <c r="D10" s="47" t="s">
        <v>43</v>
      </c>
      <c r="E10" s="47" t="s">
        <v>44</v>
      </c>
      <c r="F10" s="47" t="s">
        <v>45</v>
      </c>
      <c r="G10" s="47"/>
      <c r="H10" s="47" t="s">
        <v>46</v>
      </c>
    </row>
    <row r="11" spans="1:8" ht="15.75" thickTop="1">
      <c r="A11" s="2" t="s">
        <v>47</v>
      </c>
      <c r="B11" s="2"/>
    </row>
    <row r="12" spans="1:8">
      <c r="A12" s="57"/>
      <c r="B12" s="67"/>
      <c r="C12" s="67" t="s">
        <v>48</v>
      </c>
      <c r="D12" s="58" t="s">
        <v>49</v>
      </c>
      <c r="E12" s="59">
        <v>2018</v>
      </c>
      <c r="F12" s="60" t="s">
        <v>50</v>
      </c>
    </row>
    <row r="13" spans="1:8">
      <c r="A13" s="61"/>
      <c r="C13" s="1" t="s">
        <v>51</v>
      </c>
      <c r="D13" s="22" t="s">
        <v>49</v>
      </c>
      <c r="E13" s="10">
        <v>2021</v>
      </c>
      <c r="F13" s="62" t="s">
        <v>52</v>
      </c>
    </row>
    <row r="14" spans="1:8">
      <c r="A14" s="61"/>
      <c r="C14" s="1" t="s">
        <v>53</v>
      </c>
      <c r="D14" s="22" t="s">
        <v>49</v>
      </c>
      <c r="E14" s="10">
        <v>2025</v>
      </c>
      <c r="F14" s="62" t="s">
        <v>54</v>
      </c>
    </row>
    <row r="15" spans="1:8">
      <c r="A15" s="61"/>
      <c r="C15" s="1" t="s">
        <v>55</v>
      </c>
      <c r="D15" s="22" t="s">
        <v>56</v>
      </c>
      <c r="E15" s="10">
        <v>2</v>
      </c>
      <c r="F15" s="62" t="s">
        <v>54</v>
      </c>
    </row>
    <row r="16" spans="1:8">
      <c r="A16" s="61"/>
      <c r="C16" s="1" t="s">
        <v>57</v>
      </c>
      <c r="D16" s="22" t="s">
        <v>49</v>
      </c>
      <c r="E16" s="1">
        <f>E14+E15</f>
        <v>2027</v>
      </c>
      <c r="F16" s="62" t="s">
        <v>3</v>
      </c>
    </row>
    <row r="17" spans="1:13">
      <c r="A17" s="61"/>
      <c r="C17" s="1" t="s">
        <v>58</v>
      </c>
      <c r="D17" s="22" t="s">
        <v>49</v>
      </c>
      <c r="E17" s="1">
        <f>E16</f>
        <v>2027</v>
      </c>
      <c r="F17" s="62" t="s">
        <v>3</v>
      </c>
    </row>
    <row r="18" spans="1:13">
      <c r="A18" s="61"/>
      <c r="C18" s="1" t="s">
        <v>59</v>
      </c>
      <c r="D18" s="22" t="s">
        <v>56</v>
      </c>
      <c r="E18" s="1">
        <f>MAX(E19:E20)</f>
        <v>20</v>
      </c>
      <c r="F18" s="62" t="s">
        <v>52</v>
      </c>
    </row>
    <row r="19" spans="1:13">
      <c r="A19" s="61"/>
      <c r="C19" s="1" t="s">
        <v>60</v>
      </c>
      <c r="D19" s="22" t="s">
        <v>56</v>
      </c>
      <c r="E19" s="10">
        <v>20</v>
      </c>
      <c r="F19" s="62" t="s">
        <v>52</v>
      </c>
    </row>
    <row r="20" spans="1:13">
      <c r="A20" s="284"/>
      <c r="B20" s="284">
        <f>IF(E20=0,0,1)</f>
        <v>0</v>
      </c>
      <c r="C20" s="284" t="s">
        <v>61</v>
      </c>
      <c r="D20" s="358" t="s">
        <v>56</v>
      </c>
      <c r="E20" s="284">
        <v>0</v>
      </c>
      <c r="F20" s="359" t="s">
        <v>62</v>
      </c>
    </row>
    <row r="21" spans="1:13">
      <c r="A21" s="63"/>
      <c r="B21" s="68"/>
      <c r="C21" s="68" t="s">
        <v>63</v>
      </c>
      <c r="D21" s="64" t="s">
        <v>49</v>
      </c>
      <c r="E21" s="65">
        <f>E17+E18</f>
        <v>2047</v>
      </c>
      <c r="F21" s="66" t="s">
        <v>3</v>
      </c>
    </row>
    <row r="22" spans="1:13">
      <c r="D22" s="22"/>
      <c r="E22" s="14"/>
    </row>
    <row r="23" spans="1:13" ht="15">
      <c r="A23" s="2" t="s">
        <v>64</v>
      </c>
      <c r="B23" s="2"/>
      <c r="D23" s="22"/>
      <c r="E23" s="14"/>
    </row>
    <row r="24" spans="1:13">
      <c r="A24" s="57"/>
      <c r="B24" s="67"/>
      <c r="C24" s="67" t="s">
        <v>65</v>
      </c>
      <c r="D24" s="58" t="s">
        <v>66</v>
      </c>
      <c r="E24" s="69">
        <v>0</v>
      </c>
      <c r="F24" s="60" t="s">
        <v>52</v>
      </c>
    </row>
    <row r="25" spans="1:13" ht="15">
      <c r="A25" s="61"/>
      <c r="C25" s="1" t="s">
        <v>67</v>
      </c>
      <c r="D25" s="22" t="s">
        <v>66</v>
      </c>
      <c r="E25" s="228">
        <v>0.03</v>
      </c>
      <c r="F25" s="62" t="s">
        <v>52</v>
      </c>
      <c r="H25"/>
      <c r="I25"/>
      <c r="J25"/>
      <c r="K25"/>
      <c r="L25"/>
      <c r="M25"/>
    </row>
    <row r="26" spans="1:13" ht="15">
      <c r="A26" s="61"/>
      <c r="C26" s="1" t="s">
        <v>68</v>
      </c>
      <c r="D26" s="22" t="s">
        <v>66</v>
      </c>
      <c r="E26" s="228">
        <v>7.0000000000000007E-2</v>
      </c>
      <c r="F26" s="62" t="s">
        <v>52</v>
      </c>
      <c r="M26"/>
    </row>
    <row r="27" spans="1:13" ht="15">
      <c r="A27" s="61"/>
      <c r="C27" s="1" t="s">
        <v>69</v>
      </c>
      <c r="D27" s="22" t="s">
        <v>49</v>
      </c>
      <c r="E27" s="229">
        <v>2022</v>
      </c>
      <c r="F27" s="62" t="s">
        <v>54</v>
      </c>
      <c r="M27"/>
    </row>
    <row r="28" spans="1:13">
      <c r="A28" s="61"/>
      <c r="C28" s="1" t="s">
        <v>70</v>
      </c>
      <c r="D28" s="22" t="s">
        <v>49</v>
      </c>
      <c r="E28" s="229">
        <v>2022</v>
      </c>
      <c r="F28" s="62" t="s">
        <v>54</v>
      </c>
    </row>
    <row r="29" spans="1:13">
      <c r="A29" s="61"/>
      <c r="C29" s="1" t="s">
        <v>71</v>
      </c>
      <c r="D29" s="22" t="s">
        <v>49</v>
      </c>
      <c r="E29" s="229">
        <v>2018</v>
      </c>
      <c r="F29" s="62" t="s">
        <v>54</v>
      </c>
    </row>
    <row r="30" spans="1:13">
      <c r="A30" s="61"/>
      <c r="C30" s="1" t="s">
        <v>72</v>
      </c>
      <c r="D30" s="22" t="s">
        <v>49</v>
      </c>
      <c r="E30" s="229">
        <v>2022</v>
      </c>
      <c r="F30" s="62" t="s">
        <v>54</v>
      </c>
    </row>
    <row r="31" spans="1:13">
      <c r="A31" s="61"/>
      <c r="C31" s="1" t="s">
        <v>73</v>
      </c>
      <c r="D31" s="22" t="s">
        <v>49</v>
      </c>
      <c r="E31" s="229">
        <v>2022</v>
      </c>
      <c r="F31" s="62" t="s">
        <v>54</v>
      </c>
    </row>
    <row r="32" spans="1:13">
      <c r="A32" s="61"/>
      <c r="C32" s="1" t="s">
        <v>74</v>
      </c>
      <c r="D32" s="87" t="s">
        <v>75</v>
      </c>
      <c r="E32" s="229">
        <v>365</v>
      </c>
      <c r="F32" s="62" t="s">
        <v>76</v>
      </c>
    </row>
    <row r="33" spans="1:6">
      <c r="A33" s="63"/>
      <c r="B33" s="68"/>
      <c r="C33" s="68" t="s">
        <v>77</v>
      </c>
      <c r="D33" s="95" t="s">
        <v>78</v>
      </c>
      <c r="E33" s="291">
        <v>1000</v>
      </c>
      <c r="F33" s="66" t="s">
        <v>76</v>
      </c>
    </row>
    <row r="34" spans="1:6">
      <c r="D34" s="87"/>
    </row>
    <row r="35" spans="1:6" ht="15">
      <c r="A35" s="2" t="s">
        <v>79</v>
      </c>
      <c r="B35" s="2"/>
      <c r="D35" s="21"/>
    </row>
    <row r="36" spans="1:6" ht="15">
      <c r="A36" s="407"/>
      <c r="B36" s="318"/>
      <c r="C36" s="67" t="s">
        <v>22</v>
      </c>
      <c r="D36" s="58" t="s">
        <v>80</v>
      </c>
      <c r="E36" s="408">
        <f>'REF Project Costs'!D17</f>
        <v>20078988.010569714</v>
      </c>
      <c r="F36" s="60" t="s">
        <v>54</v>
      </c>
    </row>
    <row r="37" spans="1:6" ht="14.25" customHeight="1">
      <c r="A37" s="409"/>
      <c r="B37" s="284">
        <f>IF(E37=0,0,1)</f>
        <v>0</v>
      </c>
      <c r="C37" s="284" t="s">
        <v>81</v>
      </c>
      <c r="D37" s="358" t="s">
        <v>66</v>
      </c>
      <c r="E37" s="357">
        <v>0</v>
      </c>
      <c r="F37" s="359" t="s">
        <v>82</v>
      </c>
    </row>
    <row r="38" spans="1:6">
      <c r="A38" s="61"/>
      <c r="C38" s="1" t="s">
        <v>83</v>
      </c>
      <c r="D38" s="22" t="s">
        <v>80</v>
      </c>
      <c r="E38" s="406">
        <v>6884325</v>
      </c>
      <c r="F38" s="62" t="s">
        <v>84</v>
      </c>
    </row>
    <row r="39" spans="1:6">
      <c r="A39" s="61"/>
      <c r="C39" s="1" t="s">
        <v>85</v>
      </c>
      <c r="D39" s="22" t="s">
        <v>56</v>
      </c>
      <c r="E39" s="229">
        <v>75</v>
      </c>
      <c r="F39" s="62" t="s">
        <v>86</v>
      </c>
    </row>
    <row r="40" spans="1:6">
      <c r="A40" s="61"/>
      <c r="C40" s="1" t="s">
        <v>87</v>
      </c>
      <c r="D40" s="22" t="s">
        <v>80</v>
      </c>
      <c r="E40" s="230">
        <v>0</v>
      </c>
      <c r="F40" s="62" t="s">
        <v>54</v>
      </c>
    </row>
    <row r="41" spans="1:6">
      <c r="A41" s="61"/>
      <c r="C41" s="1" t="s">
        <v>88</v>
      </c>
      <c r="D41" s="22" t="s">
        <v>89</v>
      </c>
      <c r="E41" s="230">
        <v>12</v>
      </c>
      <c r="F41" s="62" t="s">
        <v>90</v>
      </c>
    </row>
    <row r="42" spans="1:6">
      <c r="A42" s="61"/>
      <c r="C42" s="1" t="s">
        <v>91</v>
      </c>
      <c r="D42" s="22" t="s">
        <v>92</v>
      </c>
      <c r="E42" s="230">
        <v>8</v>
      </c>
      <c r="F42" s="62" t="s">
        <v>90</v>
      </c>
    </row>
    <row r="43" spans="1:6">
      <c r="A43" s="61"/>
      <c r="C43" s="1" t="s">
        <v>93</v>
      </c>
      <c r="D43" s="22" t="s">
        <v>92</v>
      </c>
      <c r="E43" s="230">
        <v>4</v>
      </c>
      <c r="F43" s="62" t="s">
        <v>90</v>
      </c>
    </row>
    <row r="44" spans="1:6">
      <c r="A44" s="63"/>
      <c r="B44" s="68"/>
      <c r="C44" s="68" t="s">
        <v>94</v>
      </c>
      <c r="D44" s="64" t="s">
        <v>95</v>
      </c>
      <c r="E44" s="353">
        <f>E66*2</f>
        <v>0.53030303030303028</v>
      </c>
      <c r="F44" s="66" t="s">
        <v>90</v>
      </c>
    </row>
    <row r="45" spans="1:6">
      <c r="D45" s="22"/>
    </row>
    <row r="46" spans="1:6" ht="15">
      <c r="A46" s="2" t="s">
        <v>96</v>
      </c>
      <c r="B46" s="2"/>
      <c r="D46" s="21"/>
    </row>
    <row r="47" spans="1:6">
      <c r="A47" s="57"/>
      <c r="B47" s="67"/>
      <c r="C47" s="67" t="s">
        <v>97</v>
      </c>
      <c r="D47" s="58" t="s">
        <v>66</v>
      </c>
      <c r="E47" s="354">
        <v>0.03</v>
      </c>
      <c r="F47" s="60" t="s">
        <v>98</v>
      </c>
    </row>
    <row r="48" spans="1:6">
      <c r="A48" s="61"/>
      <c r="C48" s="1" t="s">
        <v>99</v>
      </c>
      <c r="D48" s="12" t="s">
        <v>49</v>
      </c>
      <c r="E48" s="360">
        <f>'REF Traffic'!$D$68</f>
        <v>2023</v>
      </c>
      <c r="F48" s="62" t="s">
        <v>98</v>
      </c>
    </row>
    <row r="49" spans="1:6">
      <c r="A49" s="61"/>
      <c r="C49" s="1" t="s">
        <v>100</v>
      </c>
      <c r="D49" s="12" t="s">
        <v>101</v>
      </c>
      <c r="E49" s="355">
        <f>'REF Traffic'!$D$71</f>
        <v>19720</v>
      </c>
      <c r="F49" s="62" t="s">
        <v>98</v>
      </c>
    </row>
    <row r="50" spans="1:6">
      <c r="A50" s="61"/>
      <c r="C50" s="1" t="s">
        <v>102</v>
      </c>
      <c r="D50" s="12" t="s">
        <v>49</v>
      </c>
      <c r="E50" s="360">
        <f>'REF Traffic'!$D$110</f>
        <v>2046</v>
      </c>
      <c r="F50" s="62" t="s">
        <v>98</v>
      </c>
    </row>
    <row r="51" spans="1:6">
      <c r="A51" s="61"/>
      <c r="C51" s="1" t="s">
        <v>103</v>
      </c>
      <c r="D51" s="12" t="s">
        <v>101</v>
      </c>
      <c r="E51" s="355">
        <f>'REF Traffic'!$D$113</f>
        <v>28828</v>
      </c>
      <c r="F51" s="62" t="s">
        <v>98</v>
      </c>
    </row>
    <row r="52" spans="1:6">
      <c r="A52" s="61"/>
      <c r="C52" s="1" t="s">
        <v>104</v>
      </c>
      <c r="D52" s="22" t="s">
        <v>105</v>
      </c>
      <c r="E52" s="1">
        <f>'REF Accidents'!$D$13*(1-$E$53)</f>
        <v>0.434</v>
      </c>
      <c r="F52" s="62" t="s">
        <v>106</v>
      </c>
    </row>
    <row r="53" spans="1:6">
      <c r="A53" s="361"/>
      <c r="B53" s="361">
        <f>IF(E53=0,0,1)</f>
        <v>0</v>
      </c>
      <c r="C53" s="361" t="s">
        <v>107</v>
      </c>
      <c r="D53" s="362" t="s">
        <v>66</v>
      </c>
      <c r="E53" s="363">
        <v>0</v>
      </c>
      <c r="F53" s="364" t="s">
        <v>82</v>
      </c>
    </row>
    <row r="54" spans="1:6">
      <c r="D54" s="22"/>
    </row>
    <row r="55" spans="1:6">
      <c r="D55" s="22"/>
      <c r="E55" s="5"/>
    </row>
    <row r="56" spans="1:6" ht="15">
      <c r="A56" s="2" t="s">
        <v>108</v>
      </c>
      <c r="B56" s="2"/>
      <c r="D56" s="22"/>
      <c r="E56" s="5"/>
    </row>
    <row r="57" spans="1:6">
      <c r="A57" s="57"/>
      <c r="B57" s="67"/>
      <c r="C57" s="67" t="str">
        <f>'REF Accidents'!$B$9</f>
        <v>Non-incapacitating injuries or possible injury</v>
      </c>
      <c r="D57" s="302" t="s">
        <v>109</v>
      </c>
      <c r="E57" s="303">
        <f>'REF Accidents'!$D$9</f>
        <v>1.7777777777777777</v>
      </c>
      <c r="F57" s="60" t="s">
        <v>110</v>
      </c>
    </row>
    <row r="58" spans="1:6">
      <c r="A58" s="61"/>
      <c r="C58" s="1" t="str">
        <f>'REF Accidents'!$B$10</f>
        <v>PDO</v>
      </c>
      <c r="D58" s="87" t="s">
        <v>109</v>
      </c>
      <c r="E58" s="106">
        <f>'REF Accidents'!$D$10</f>
        <v>2</v>
      </c>
      <c r="F58" s="62" t="s">
        <v>110</v>
      </c>
    </row>
    <row r="59" spans="1:6">
      <c r="A59" s="61"/>
      <c r="C59" s="1" t="str">
        <f>'REF Accidents'!$B$11</f>
        <v>Total Crashes</v>
      </c>
      <c r="D59" s="87" t="s">
        <v>109</v>
      </c>
      <c r="E59" s="106">
        <f>'REF Accidents'!$D$11</f>
        <v>3.7777777777777777</v>
      </c>
      <c r="F59" s="62" t="s">
        <v>110</v>
      </c>
    </row>
    <row r="60" spans="1:6">
      <c r="A60" s="61"/>
      <c r="C60" s="1" t="s">
        <v>111</v>
      </c>
      <c r="D60" s="87" t="s">
        <v>112</v>
      </c>
      <c r="E60" s="23">
        <f>'REF Accidents'!$C$5</f>
        <v>2021</v>
      </c>
      <c r="F60" s="62" t="s">
        <v>110</v>
      </c>
    </row>
    <row r="61" spans="1:6">
      <c r="A61" s="61"/>
      <c r="C61" s="1" t="s">
        <v>113</v>
      </c>
      <c r="D61" s="292" t="s">
        <v>114</v>
      </c>
      <c r="E61" s="301">
        <f>'REF USDOT BCA 2023 Guidlines'!$AF$13</f>
        <v>153700</v>
      </c>
      <c r="F61" s="62" t="s">
        <v>115</v>
      </c>
    </row>
    <row r="62" spans="1:6" ht="14.25" customHeight="1">
      <c r="A62" s="63"/>
      <c r="B62" s="68"/>
      <c r="C62" s="68" t="s">
        <v>116</v>
      </c>
      <c r="D62" s="297" t="s">
        <v>114</v>
      </c>
      <c r="E62" s="304">
        <f>'REF USDOT BCA 2023 Guidlines'!$AF$25</f>
        <v>4800</v>
      </c>
      <c r="F62" s="66" t="s">
        <v>117</v>
      </c>
    </row>
    <row r="63" spans="1:6" ht="14.25" customHeight="1">
      <c r="D63" s="292"/>
      <c r="E63" s="5"/>
    </row>
    <row r="64" spans="1:6" ht="15">
      <c r="A64" s="2" t="s">
        <v>118</v>
      </c>
      <c r="B64" s="2"/>
      <c r="D64" s="21"/>
    </row>
    <row r="65" spans="1:6">
      <c r="A65" s="57"/>
      <c r="B65" s="67"/>
      <c r="C65" s="67" t="s">
        <v>119</v>
      </c>
      <c r="D65" s="58" t="s">
        <v>95</v>
      </c>
      <c r="E65" s="356">
        <v>3.9</v>
      </c>
      <c r="F65" s="60" t="s">
        <v>120</v>
      </c>
    </row>
    <row r="66" spans="1:6">
      <c r="A66" s="61"/>
      <c r="C66" s="294" t="s">
        <v>121</v>
      </c>
      <c r="D66" s="22" t="s">
        <v>95</v>
      </c>
      <c r="E66" s="366">
        <f>1400/5280</f>
        <v>0.26515151515151514</v>
      </c>
      <c r="F66" s="62" t="s">
        <v>90</v>
      </c>
    </row>
    <row r="67" spans="1:6">
      <c r="A67" s="61"/>
      <c r="C67" s="294" t="s">
        <v>122</v>
      </c>
      <c r="D67" s="22" t="s">
        <v>123</v>
      </c>
      <c r="E67" s="367">
        <f>'REF USDOT BCA 2023 Guidlines'!$AF$122</f>
        <v>3.2</v>
      </c>
      <c r="F67" s="62" t="s">
        <v>124</v>
      </c>
    </row>
    <row r="68" spans="1:6" ht="15">
      <c r="A68" s="61"/>
      <c r="C68" s="365" t="s">
        <v>125</v>
      </c>
      <c r="D68" s="368"/>
      <c r="E68" s="231"/>
      <c r="F68" s="62"/>
    </row>
    <row r="69" spans="1:6">
      <c r="A69" s="61"/>
      <c r="C69" s="294" t="s">
        <v>126</v>
      </c>
      <c r="D69" s="22" t="s">
        <v>127</v>
      </c>
      <c r="E69" s="298">
        <f>'REF USDOT BCA 2023 Guidlines'!$AF$30</f>
        <v>17</v>
      </c>
      <c r="F69" s="62" t="s">
        <v>128</v>
      </c>
    </row>
    <row r="70" spans="1:6">
      <c r="A70" s="61"/>
      <c r="C70" s="294" t="s">
        <v>129</v>
      </c>
      <c r="D70" s="22" t="s">
        <v>127</v>
      </c>
      <c r="E70" s="298">
        <f>'REF USDOT BCA 2023 Guidlines'!$AF$31</f>
        <v>31.9</v>
      </c>
      <c r="F70" s="62" t="s">
        <v>128</v>
      </c>
    </row>
    <row r="71" spans="1:6">
      <c r="A71" s="61"/>
      <c r="C71" s="294" t="s">
        <v>130</v>
      </c>
      <c r="D71" s="22" t="s">
        <v>127</v>
      </c>
      <c r="E71" s="298">
        <f>'REF USDOT BCA 2023 Guidlines'!$AF$32</f>
        <v>18.8</v>
      </c>
      <c r="F71" s="62" t="s">
        <v>128</v>
      </c>
    </row>
    <row r="72" spans="1:6">
      <c r="A72" s="61"/>
      <c r="C72" s="294" t="s">
        <v>131</v>
      </c>
      <c r="D72" s="22" t="s">
        <v>127</v>
      </c>
      <c r="E72" s="298">
        <f>'REF USDOT BCA 2023 Guidlines'!$AG$32</f>
        <v>34</v>
      </c>
      <c r="F72" s="62" t="s">
        <v>128</v>
      </c>
    </row>
    <row r="73" spans="1:6">
      <c r="A73" s="61"/>
      <c r="C73" s="294" t="s">
        <v>132</v>
      </c>
      <c r="D73" s="22" t="s">
        <v>127</v>
      </c>
      <c r="E73" s="298">
        <f>'REF USDOT BCA 2023 Guidlines'!$AF$34</f>
        <v>32.4</v>
      </c>
      <c r="F73" s="62" t="s">
        <v>128</v>
      </c>
    </row>
    <row r="74" spans="1:6">
      <c r="A74" s="61"/>
      <c r="C74" s="294" t="s">
        <v>133</v>
      </c>
      <c r="D74" s="22" t="s">
        <v>127</v>
      </c>
      <c r="E74" s="298">
        <f>'REF USDOT BCA 2023 Guidlines'!$AF$35</f>
        <v>35</v>
      </c>
      <c r="F74" s="62" t="s">
        <v>128</v>
      </c>
    </row>
    <row r="75" spans="1:6">
      <c r="A75" s="61"/>
      <c r="C75" s="294" t="s">
        <v>134</v>
      </c>
      <c r="D75" s="22" t="s">
        <v>127</v>
      </c>
      <c r="E75" s="298">
        <f>'REF USDOT BCA 2023 Guidlines'!$AF$36</f>
        <v>58.4</v>
      </c>
      <c r="F75" s="62" t="s">
        <v>128</v>
      </c>
    </row>
    <row r="76" spans="1:6">
      <c r="A76" s="61"/>
      <c r="C76" s="294" t="s">
        <v>135</v>
      </c>
      <c r="D76" s="22" t="s">
        <v>127</v>
      </c>
      <c r="E76" s="298">
        <f>'REF USDOT BCA 2023 Guidlines'!$AF$37</f>
        <v>57.4</v>
      </c>
      <c r="F76" s="62" t="s">
        <v>128</v>
      </c>
    </row>
    <row r="77" spans="1:6" ht="15">
      <c r="A77" s="61"/>
      <c r="C77" s="365" t="s">
        <v>136</v>
      </c>
      <c r="D77" s="369"/>
      <c r="E77" s="299"/>
      <c r="F77" s="62"/>
    </row>
    <row r="78" spans="1:6" ht="14.25" customHeight="1">
      <c r="A78" s="61"/>
      <c r="C78" s="294" t="s">
        <v>137</v>
      </c>
      <c r="D78" s="22" t="s">
        <v>138</v>
      </c>
      <c r="E78" s="370">
        <f>'REF USDOT BCA 2023 Guidlines'!$AF$43</f>
        <v>1.48</v>
      </c>
      <c r="F78" s="62" t="s">
        <v>139</v>
      </c>
    </row>
    <row r="79" spans="1:6" ht="14.25" customHeight="1">
      <c r="A79" s="61"/>
      <c r="C79" s="294" t="s">
        <v>140</v>
      </c>
      <c r="D79" s="22" t="s">
        <v>138</v>
      </c>
      <c r="E79" s="370">
        <f>'REF USDOT BCA 2023 Guidlines'!$AF$44</f>
        <v>1.58</v>
      </c>
      <c r="F79" s="62" t="s">
        <v>139</v>
      </c>
    </row>
    <row r="80" spans="1:6" ht="14.25" customHeight="1">
      <c r="A80" s="61"/>
      <c r="C80" s="294" t="s">
        <v>141</v>
      </c>
      <c r="D80" s="22" t="s">
        <v>138</v>
      </c>
      <c r="E80" s="370">
        <f>'REF USDOT BCA 2023 Guidlines'!$AF$45</f>
        <v>2.02</v>
      </c>
      <c r="F80" s="62" t="s">
        <v>139</v>
      </c>
    </row>
    <row r="81" spans="1:6" ht="14.25" customHeight="1">
      <c r="A81" s="61"/>
      <c r="C81" s="294" t="s">
        <v>142</v>
      </c>
      <c r="D81" s="22" t="s">
        <v>138</v>
      </c>
      <c r="E81" s="370">
        <f>'REF USDOT BCA 2023 Guidlines'!$AF$46</f>
        <v>1.67</v>
      </c>
      <c r="F81" s="62" t="s">
        <v>139</v>
      </c>
    </row>
    <row r="82" spans="1:6" ht="14.25" customHeight="1">
      <c r="A82" s="61"/>
      <c r="C82" s="294" t="s">
        <v>143</v>
      </c>
      <c r="D82" s="22" t="s">
        <v>138</v>
      </c>
      <c r="E82" s="230">
        <v>1</v>
      </c>
      <c r="F82" s="62" t="s">
        <v>144</v>
      </c>
    </row>
    <row r="83" spans="1:6" ht="14.25" customHeight="1">
      <c r="A83" s="61"/>
      <c r="C83" s="365" t="s">
        <v>145</v>
      </c>
      <c r="D83" s="22"/>
      <c r="F83" s="62"/>
    </row>
    <row r="84" spans="1:6" ht="14.25" customHeight="1">
      <c r="A84" s="61"/>
      <c r="C84" s="1" t="s">
        <v>146</v>
      </c>
      <c r="D84" s="292" t="s">
        <v>147</v>
      </c>
      <c r="E84" s="105">
        <f>'REF Traffic'!$W$5+'REF Traffic'!$X$5</f>
        <v>91</v>
      </c>
      <c r="F84" s="62" t="s">
        <v>148</v>
      </c>
    </row>
    <row r="85" spans="1:6" ht="14.25" customHeight="1">
      <c r="A85" s="61"/>
      <c r="C85" s="1" t="s">
        <v>111</v>
      </c>
      <c r="D85" s="292" t="s">
        <v>112</v>
      </c>
      <c r="E85" s="23">
        <f>'REF Traffic'!$W$3</f>
        <v>2023</v>
      </c>
      <c r="F85" s="62" t="s">
        <v>148</v>
      </c>
    </row>
    <row r="86" spans="1:6" ht="14.25" customHeight="1">
      <c r="A86" s="61"/>
      <c r="C86" s="1" t="s">
        <v>149</v>
      </c>
      <c r="D86" s="292" t="s">
        <v>147</v>
      </c>
      <c r="E86" s="105">
        <f>('REF Traffic'!$Y$5+'REF Traffic'!$Z$5) * (1+$E$87)</f>
        <v>428</v>
      </c>
      <c r="F86" s="62" t="s">
        <v>148</v>
      </c>
    </row>
    <row r="87" spans="1:6" ht="14.25" customHeight="1">
      <c r="A87" s="284"/>
      <c r="B87" s="284">
        <f>IF(E87=0,0,1)</f>
        <v>0</v>
      </c>
      <c r="C87" s="284" t="s">
        <v>150</v>
      </c>
      <c r="D87" s="358" t="s">
        <v>66</v>
      </c>
      <c r="E87" s="371">
        <f>E93</f>
        <v>0</v>
      </c>
      <c r="F87" s="359" t="s">
        <v>82</v>
      </c>
    </row>
    <row r="88" spans="1:6" ht="14.25" customHeight="1">
      <c r="A88" s="61"/>
      <c r="C88" s="1" t="s">
        <v>151</v>
      </c>
      <c r="D88" s="292" t="s">
        <v>112</v>
      </c>
      <c r="E88" s="23">
        <f>'REF Traffic'!$Y$3</f>
        <v>2046</v>
      </c>
      <c r="F88" s="62" t="s">
        <v>148</v>
      </c>
    </row>
    <row r="89" spans="1:6" ht="14.25" customHeight="1">
      <c r="A89" s="61"/>
      <c r="C89" s="365" t="s">
        <v>152</v>
      </c>
      <c r="D89" s="22"/>
      <c r="F89" s="62"/>
    </row>
    <row r="90" spans="1:6" ht="14.25" customHeight="1">
      <c r="A90" s="61"/>
      <c r="C90" s="1" t="s">
        <v>146</v>
      </c>
      <c r="D90" s="292" t="s">
        <v>147</v>
      </c>
      <c r="E90" s="105">
        <f>('REF Traffic'!$W$6+'REF Traffic'!$X$6)</f>
        <v>59</v>
      </c>
      <c r="F90" s="62" t="s">
        <v>148</v>
      </c>
    </row>
    <row r="91" spans="1:6" ht="14.25" customHeight="1">
      <c r="A91" s="61"/>
      <c r="C91" s="1" t="s">
        <v>111</v>
      </c>
      <c r="D91" s="292" t="s">
        <v>112</v>
      </c>
      <c r="E91" s="23">
        <f>'REF Traffic'!$W$3</f>
        <v>2023</v>
      </c>
      <c r="F91" s="62" t="s">
        <v>148</v>
      </c>
    </row>
    <row r="92" spans="1:6" ht="14.25" customHeight="1">
      <c r="A92" s="61"/>
      <c r="C92" s="1" t="s">
        <v>149</v>
      </c>
      <c r="D92" s="292" t="s">
        <v>147</v>
      </c>
      <c r="E92" s="105">
        <f>('REF Traffic'!$Y$6+'REF Traffic'!$Z$6) * (1+E93)</f>
        <v>230</v>
      </c>
      <c r="F92" s="62" t="s">
        <v>148</v>
      </c>
    </row>
    <row r="93" spans="1:6" ht="14.25" customHeight="1">
      <c r="A93" s="284"/>
      <c r="B93" s="284">
        <f>IF(E93=0,0,1)</f>
        <v>0</v>
      </c>
      <c r="C93" s="284" t="s">
        <v>150</v>
      </c>
      <c r="D93" s="358" t="s">
        <v>66</v>
      </c>
      <c r="E93" s="357">
        <v>0</v>
      </c>
      <c r="F93" s="359" t="s">
        <v>82</v>
      </c>
    </row>
    <row r="94" spans="1:6" ht="14.25" customHeight="1">
      <c r="A94" s="63"/>
      <c r="B94" s="68"/>
      <c r="C94" s="68" t="s">
        <v>151</v>
      </c>
      <c r="D94" s="297" t="s">
        <v>112</v>
      </c>
      <c r="E94" s="313">
        <f>'REF Traffic'!$Y$3</f>
        <v>2046</v>
      </c>
      <c r="F94" s="66" t="s">
        <v>148</v>
      </c>
    </row>
    <row r="95" spans="1:6" ht="14.25" customHeight="1">
      <c r="C95" s="294"/>
      <c r="D95" s="22"/>
      <c r="E95" s="300"/>
    </row>
    <row r="96" spans="1:6" ht="15">
      <c r="A96" s="2" t="s">
        <v>153</v>
      </c>
      <c r="B96" s="2"/>
      <c r="D96" s="21"/>
    </row>
    <row r="97" spans="1:6" ht="15">
      <c r="A97" s="57"/>
      <c r="B97" s="67"/>
      <c r="C97" s="318" t="s">
        <v>154</v>
      </c>
      <c r="D97" s="302"/>
      <c r="E97" s="319"/>
      <c r="F97" s="60"/>
    </row>
    <row r="98" spans="1:6">
      <c r="A98" s="61"/>
      <c r="C98" s="1" t="s">
        <v>155</v>
      </c>
      <c r="D98" s="87" t="s">
        <v>156</v>
      </c>
      <c r="E98" s="105">
        <f>'REF Traffic'!$W$51+'REF Traffic'!$Y$51</f>
        <v>16.05</v>
      </c>
      <c r="F98" s="62" t="s">
        <v>148</v>
      </c>
    </row>
    <row r="99" spans="1:6">
      <c r="A99" s="61"/>
      <c r="C99" s="1" t="s">
        <v>155</v>
      </c>
      <c r="D99" s="87" t="s">
        <v>112</v>
      </c>
      <c r="E99" s="23">
        <f>'REF Traffic'!$W$48</f>
        <v>2023</v>
      </c>
      <c r="F99" s="62" t="s">
        <v>148</v>
      </c>
    </row>
    <row r="100" spans="1:6">
      <c r="A100" s="61"/>
      <c r="C100" s="1" t="s">
        <v>157</v>
      </c>
      <c r="D100" s="87" t="s">
        <v>156</v>
      </c>
      <c r="E100" s="105">
        <f>'REF Traffic'!$AA$51+'REF Traffic'!$AC$51</f>
        <v>39.239999999999995</v>
      </c>
      <c r="F100" s="62" t="s">
        <v>148</v>
      </c>
    </row>
    <row r="101" spans="1:6">
      <c r="A101" s="61"/>
      <c r="C101" s="1" t="s">
        <v>157</v>
      </c>
      <c r="D101" s="87" t="s">
        <v>112</v>
      </c>
      <c r="E101" s="23">
        <f>'REF Traffic'!$AA$48</f>
        <v>2046</v>
      </c>
      <c r="F101" s="62" t="s">
        <v>148</v>
      </c>
    </row>
    <row r="102" spans="1:6" ht="15">
      <c r="A102" s="61"/>
      <c r="C102" s="2" t="s">
        <v>158</v>
      </c>
      <c r="D102" s="22"/>
      <c r="E102" s="320"/>
      <c r="F102" s="62"/>
    </row>
    <row r="103" spans="1:6">
      <c r="A103" s="61"/>
      <c r="C103" s="1" t="s">
        <v>159</v>
      </c>
      <c r="D103" s="87" t="s">
        <v>156</v>
      </c>
      <c r="E103" s="105">
        <f>'REF Traffic'!$W$52+'REF Traffic'!$Y$52</f>
        <v>3.12</v>
      </c>
      <c r="F103" s="62" t="s">
        <v>148</v>
      </c>
    </row>
    <row r="104" spans="1:6">
      <c r="A104" s="61"/>
      <c r="C104" s="1" t="s">
        <v>155</v>
      </c>
      <c r="D104" s="87" t="s">
        <v>112</v>
      </c>
      <c r="E104" s="23">
        <f>'REF Traffic'!$W$48</f>
        <v>2023</v>
      </c>
      <c r="F104" s="62" t="s">
        <v>148</v>
      </c>
    </row>
    <row r="105" spans="1:6">
      <c r="A105" s="61"/>
      <c r="C105" s="1" t="s">
        <v>157</v>
      </c>
      <c r="D105" s="87" t="s">
        <v>156</v>
      </c>
      <c r="E105" s="105">
        <f>'REF Traffic'!$AA$52+'REF Traffic'!$AC$52</f>
        <v>7.6300000000000008</v>
      </c>
      <c r="F105" s="62" t="s">
        <v>148</v>
      </c>
    </row>
    <row r="106" spans="1:6">
      <c r="A106" s="61"/>
      <c r="C106" s="1" t="s">
        <v>157</v>
      </c>
      <c r="D106" s="87" t="s">
        <v>112</v>
      </c>
      <c r="E106" s="23">
        <f>'REF Traffic'!$AA$48</f>
        <v>2046</v>
      </c>
      <c r="F106" s="62" t="s">
        <v>148</v>
      </c>
    </row>
    <row r="107" spans="1:6" ht="15">
      <c r="A107" s="61"/>
      <c r="C107" s="2" t="s">
        <v>154</v>
      </c>
      <c r="D107" s="22"/>
      <c r="E107" s="4"/>
      <c r="F107" s="62"/>
    </row>
    <row r="108" spans="1:6">
      <c r="A108" s="61"/>
      <c r="C108" s="1" t="s">
        <v>160</v>
      </c>
      <c r="D108" s="87" t="s">
        <v>156</v>
      </c>
      <c r="E108" s="105">
        <f>'REF Traffic'!$X$51+'REF Traffic'!$Z$51</f>
        <v>13.73</v>
      </c>
      <c r="F108" s="62" t="s">
        <v>148</v>
      </c>
    </row>
    <row r="109" spans="1:6">
      <c r="A109" s="61"/>
      <c r="C109" s="1" t="s">
        <v>161</v>
      </c>
      <c r="D109" s="87" t="s">
        <v>112</v>
      </c>
      <c r="E109" s="23">
        <f>'REF Traffic'!$W$48</f>
        <v>2023</v>
      </c>
      <c r="F109" s="62" t="s">
        <v>148</v>
      </c>
    </row>
    <row r="110" spans="1:6">
      <c r="A110" s="61"/>
      <c r="C110" s="1" t="s">
        <v>162</v>
      </c>
      <c r="D110" s="87" t="s">
        <v>156</v>
      </c>
      <c r="E110" s="105">
        <f>'REF Traffic'!$AB$51+'REF Traffic'!$AD$51</f>
        <v>27.93</v>
      </c>
      <c r="F110" s="62" t="s">
        <v>148</v>
      </c>
    </row>
    <row r="111" spans="1:6">
      <c r="A111" s="61"/>
      <c r="C111" s="1" t="s">
        <v>162</v>
      </c>
      <c r="D111" s="87" t="s">
        <v>112</v>
      </c>
      <c r="E111" s="23">
        <f>'REF Traffic'!$AA$48</f>
        <v>2046</v>
      </c>
      <c r="F111" s="62" t="s">
        <v>148</v>
      </c>
    </row>
    <row r="112" spans="1:6" ht="15">
      <c r="A112" s="61"/>
      <c r="C112" s="2" t="s">
        <v>158</v>
      </c>
      <c r="D112" s="22"/>
      <c r="E112" s="4"/>
      <c r="F112" s="62"/>
    </row>
    <row r="113" spans="1:36">
      <c r="A113" s="61"/>
      <c r="C113" s="1" t="s">
        <v>160</v>
      </c>
      <c r="D113" s="87" t="s">
        <v>156</v>
      </c>
      <c r="E113" s="105">
        <f>'REF Traffic'!$X$52+'REF Traffic'!$Z$52</f>
        <v>2.67</v>
      </c>
      <c r="F113" s="62" t="s">
        <v>148</v>
      </c>
    </row>
    <row r="114" spans="1:36">
      <c r="A114" s="61"/>
      <c r="C114" s="1" t="s">
        <v>161</v>
      </c>
      <c r="D114" s="87" t="s">
        <v>112</v>
      </c>
      <c r="E114" s="23">
        <f>'REF Traffic'!$W$48</f>
        <v>2023</v>
      </c>
      <c r="F114" s="62" t="s">
        <v>148</v>
      </c>
    </row>
    <row r="115" spans="1:36">
      <c r="A115" s="61"/>
      <c r="C115" s="1" t="s">
        <v>162</v>
      </c>
      <c r="D115" s="87" t="s">
        <v>156</v>
      </c>
      <c r="E115" s="105">
        <f>'REF Traffic'!$AB$52+'REF Traffic'!$AD$52</f>
        <v>5.43</v>
      </c>
      <c r="F115" s="62" t="s">
        <v>148</v>
      </c>
    </row>
    <row r="116" spans="1:36">
      <c r="A116" s="63"/>
      <c r="B116" s="68"/>
      <c r="C116" s="68" t="s">
        <v>162</v>
      </c>
      <c r="D116" s="95" t="s">
        <v>112</v>
      </c>
      <c r="E116" s="313">
        <f>'REF Traffic'!$AA$48</f>
        <v>2046</v>
      </c>
      <c r="F116" s="66" t="s">
        <v>148</v>
      </c>
    </row>
    <row r="117" spans="1:36">
      <c r="D117" s="21"/>
    </row>
    <row r="118" spans="1:36" ht="15">
      <c r="A118" s="2" t="s">
        <v>163</v>
      </c>
      <c r="B118" s="2"/>
      <c r="D118" s="21"/>
    </row>
    <row r="119" spans="1:36">
      <c r="A119" s="57"/>
      <c r="B119" s="67"/>
      <c r="C119" s="67"/>
      <c r="D119" s="238"/>
      <c r="E119" s="67"/>
      <c r="F119" s="67"/>
      <c r="G119" s="239" t="s">
        <v>49</v>
      </c>
      <c r="H119" s="240">
        <v>2022</v>
      </c>
      <c r="I119" s="240">
        <v>2023</v>
      </c>
      <c r="J119" s="240">
        <v>2024</v>
      </c>
      <c r="K119" s="240">
        <v>2025</v>
      </c>
      <c r="L119" s="240">
        <v>2026</v>
      </c>
      <c r="M119" s="240">
        <v>2027</v>
      </c>
      <c r="N119" s="240">
        <v>2028</v>
      </c>
      <c r="O119" s="240">
        <v>2029</v>
      </c>
      <c r="P119" s="240">
        <v>2030</v>
      </c>
      <c r="Q119" s="240">
        <v>2031</v>
      </c>
      <c r="R119" s="240">
        <v>2032</v>
      </c>
      <c r="S119" s="240">
        <v>2033</v>
      </c>
      <c r="T119" s="240">
        <v>2034</v>
      </c>
      <c r="U119" s="240">
        <v>2035</v>
      </c>
      <c r="V119" s="240">
        <v>2036</v>
      </c>
      <c r="W119" s="240">
        <v>2037</v>
      </c>
      <c r="X119" s="240">
        <v>2038</v>
      </c>
      <c r="Y119" s="240">
        <v>2039</v>
      </c>
      <c r="Z119" s="240">
        <v>2040</v>
      </c>
      <c r="AA119" s="240">
        <v>2041</v>
      </c>
      <c r="AB119" s="240">
        <v>2042</v>
      </c>
      <c r="AC119" s="240">
        <v>2043</v>
      </c>
      <c r="AD119" s="240">
        <v>2044</v>
      </c>
      <c r="AE119" s="240">
        <v>2045</v>
      </c>
      <c r="AF119" s="240">
        <v>2046</v>
      </c>
      <c r="AG119" s="240">
        <v>2047</v>
      </c>
      <c r="AH119" s="240">
        <v>2048</v>
      </c>
      <c r="AI119" s="240">
        <v>2049</v>
      </c>
      <c r="AJ119" s="241">
        <v>2050</v>
      </c>
    </row>
    <row r="120" spans="1:36">
      <c r="A120" s="61"/>
      <c r="C120" s="1" t="s">
        <v>164</v>
      </c>
      <c r="D120" s="22" t="s">
        <v>165</v>
      </c>
      <c r="E120" s="1" t="s">
        <v>166</v>
      </c>
      <c r="F120" s="1" t="s">
        <v>167</v>
      </c>
      <c r="H120" s="235">
        <v>16600</v>
      </c>
      <c r="I120" s="235">
        <v>16800</v>
      </c>
      <c r="J120" s="235">
        <v>17000</v>
      </c>
      <c r="K120" s="235">
        <v>17200</v>
      </c>
      <c r="L120" s="235">
        <v>17500</v>
      </c>
      <c r="M120" s="235">
        <v>17900</v>
      </c>
      <c r="N120" s="235">
        <v>18200</v>
      </c>
      <c r="O120" s="235">
        <v>18600</v>
      </c>
      <c r="P120" s="235">
        <v>18900</v>
      </c>
      <c r="Q120" s="235">
        <v>18900</v>
      </c>
      <c r="R120" s="235">
        <v>18900</v>
      </c>
      <c r="S120" s="235">
        <v>18900</v>
      </c>
      <c r="T120" s="235">
        <v>18900</v>
      </c>
      <c r="U120" s="235">
        <v>18900</v>
      </c>
      <c r="V120" s="235">
        <v>18900</v>
      </c>
      <c r="W120" s="235">
        <v>18900</v>
      </c>
      <c r="X120" s="235">
        <v>18900</v>
      </c>
      <c r="Y120" s="235">
        <v>18900</v>
      </c>
      <c r="Z120" s="235">
        <v>18900</v>
      </c>
      <c r="AA120" s="235">
        <v>18900</v>
      </c>
      <c r="AB120" s="235">
        <v>18900</v>
      </c>
      <c r="AC120" s="235">
        <v>18900</v>
      </c>
      <c r="AD120" s="235">
        <v>18900</v>
      </c>
      <c r="AE120" s="235">
        <v>18900</v>
      </c>
      <c r="AF120" s="235">
        <v>18900</v>
      </c>
      <c r="AG120" s="235">
        <v>18900</v>
      </c>
      <c r="AH120" s="235">
        <v>18900</v>
      </c>
      <c r="AI120" s="235">
        <v>18900</v>
      </c>
      <c r="AJ120" s="242">
        <v>18900</v>
      </c>
    </row>
    <row r="121" spans="1:36">
      <c r="A121" s="61"/>
      <c r="C121" s="1" t="s">
        <v>168</v>
      </c>
      <c r="D121" s="22" t="s">
        <v>165</v>
      </c>
      <c r="E121" s="1" t="s">
        <v>166</v>
      </c>
      <c r="F121" s="1" t="s">
        <v>167</v>
      </c>
      <c r="H121" s="235">
        <v>44300</v>
      </c>
      <c r="I121" s="235">
        <v>45100</v>
      </c>
      <c r="J121" s="235">
        <v>46000</v>
      </c>
      <c r="K121" s="235">
        <v>46900</v>
      </c>
      <c r="L121" s="235">
        <v>47800</v>
      </c>
      <c r="M121" s="235">
        <v>48700</v>
      </c>
      <c r="N121" s="235">
        <v>49500</v>
      </c>
      <c r="O121" s="235">
        <v>50400</v>
      </c>
      <c r="P121" s="235">
        <v>51300</v>
      </c>
      <c r="Q121" s="235">
        <v>51300</v>
      </c>
      <c r="R121" s="235">
        <v>51300</v>
      </c>
      <c r="S121" s="235">
        <v>51300</v>
      </c>
      <c r="T121" s="235">
        <v>51300</v>
      </c>
      <c r="U121" s="235">
        <v>51300</v>
      </c>
      <c r="V121" s="235">
        <v>51300</v>
      </c>
      <c r="W121" s="235">
        <v>51300</v>
      </c>
      <c r="X121" s="235">
        <v>51300</v>
      </c>
      <c r="Y121" s="235">
        <v>51300</v>
      </c>
      <c r="Z121" s="235">
        <v>51300</v>
      </c>
      <c r="AA121" s="235">
        <v>51300</v>
      </c>
      <c r="AB121" s="235">
        <v>51300</v>
      </c>
      <c r="AC121" s="235">
        <v>51300</v>
      </c>
      <c r="AD121" s="235">
        <v>51300</v>
      </c>
      <c r="AE121" s="235">
        <v>51300</v>
      </c>
      <c r="AF121" s="235">
        <v>51300</v>
      </c>
      <c r="AG121" s="235">
        <v>51300</v>
      </c>
      <c r="AH121" s="235">
        <v>51300</v>
      </c>
      <c r="AI121" s="235">
        <v>51300</v>
      </c>
      <c r="AJ121" s="242">
        <v>51300</v>
      </c>
    </row>
    <row r="122" spans="1:36">
      <c r="A122" s="61"/>
      <c r="C122" s="1" t="s">
        <v>169</v>
      </c>
      <c r="D122" s="22" t="s">
        <v>165</v>
      </c>
      <c r="E122" s="1" t="s">
        <v>166</v>
      </c>
      <c r="F122" s="1" t="s">
        <v>167</v>
      </c>
      <c r="H122" s="235">
        <v>796700</v>
      </c>
      <c r="I122" s="235">
        <v>810500</v>
      </c>
      <c r="J122" s="235">
        <v>824500</v>
      </c>
      <c r="K122" s="235">
        <v>838800</v>
      </c>
      <c r="L122" s="235">
        <v>852100</v>
      </c>
      <c r="M122" s="235">
        <v>865600</v>
      </c>
      <c r="N122" s="235">
        <v>879400</v>
      </c>
      <c r="O122" s="235">
        <v>893400</v>
      </c>
      <c r="P122" s="235">
        <v>907600</v>
      </c>
      <c r="Q122" s="235">
        <v>907600</v>
      </c>
      <c r="R122" s="235">
        <v>907600</v>
      </c>
      <c r="S122" s="235">
        <v>907600</v>
      </c>
      <c r="T122" s="235">
        <v>907600</v>
      </c>
      <c r="U122" s="235">
        <v>907600</v>
      </c>
      <c r="V122" s="235">
        <v>907600</v>
      </c>
      <c r="W122" s="235">
        <v>907600</v>
      </c>
      <c r="X122" s="235">
        <v>907600</v>
      </c>
      <c r="Y122" s="235">
        <v>907600</v>
      </c>
      <c r="Z122" s="235">
        <v>907600</v>
      </c>
      <c r="AA122" s="235">
        <v>907600</v>
      </c>
      <c r="AB122" s="235">
        <v>907600</v>
      </c>
      <c r="AC122" s="235">
        <v>907600</v>
      </c>
      <c r="AD122" s="235">
        <v>907600</v>
      </c>
      <c r="AE122" s="235">
        <v>907600</v>
      </c>
      <c r="AF122" s="235">
        <v>907600</v>
      </c>
      <c r="AG122" s="235">
        <v>907600</v>
      </c>
      <c r="AH122" s="235">
        <v>907600</v>
      </c>
      <c r="AI122" s="235">
        <v>907600</v>
      </c>
      <c r="AJ122" s="242">
        <v>907600</v>
      </c>
    </row>
    <row r="123" spans="1:36">
      <c r="A123" s="63"/>
      <c r="B123" s="68"/>
      <c r="C123" s="68" t="s">
        <v>154</v>
      </c>
      <c r="D123" s="64" t="s">
        <v>165</v>
      </c>
      <c r="E123" s="68" t="s">
        <v>166</v>
      </c>
      <c r="F123" s="68" t="s">
        <v>167</v>
      </c>
      <c r="G123" s="68"/>
      <c r="H123" s="243">
        <v>56</v>
      </c>
      <c r="I123" s="243">
        <v>57</v>
      </c>
      <c r="J123" s="243">
        <v>58</v>
      </c>
      <c r="K123" s="243">
        <v>59</v>
      </c>
      <c r="L123" s="243">
        <v>60</v>
      </c>
      <c r="M123" s="243">
        <v>61</v>
      </c>
      <c r="N123" s="243">
        <v>62</v>
      </c>
      <c r="O123" s="243">
        <v>63</v>
      </c>
      <c r="P123" s="243">
        <v>65</v>
      </c>
      <c r="Q123" s="243">
        <v>66</v>
      </c>
      <c r="R123" s="243">
        <v>67</v>
      </c>
      <c r="S123" s="243">
        <v>68</v>
      </c>
      <c r="T123" s="243">
        <v>69</v>
      </c>
      <c r="U123" s="243">
        <v>70</v>
      </c>
      <c r="V123" s="243">
        <v>72</v>
      </c>
      <c r="W123" s="243">
        <v>73</v>
      </c>
      <c r="X123" s="243">
        <v>74</v>
      </c>
      <c r="Y123" s="243">
        <v>75</v>
      </c>
      <c r="Z123" s="243">
        <v>76</v>
      </c>
      <c r="AA123" s="243">
        <v>78</v>
      </c>
      <c r="AB123" s="243">
        <v>79</v>
      </c>
      <c r="AC123" s="243">
        <v>80</v>
      </c>
      <c r="AD123" s="243">
        <v>81</v>
      </c>
      <c r="AE123" s="243">
        <v>82</v>
      </c>
      <c r="AF123" s="243">
        <v>84</v>
      </c>
      <c r="AG123" s="243">
        <v>85</v>
      </c>
      <c r="AH123" s="243">
        <v>86</v>
      </c>
      <c r="AI123" s="243">
        <v>87</v>
      </c>
      <c r="AJ123" s="244">
        <v>88</v>
      </c>
    </row>
    <row r="124" spans="1:36">
      <c r="C124" s="115"/>
      <c r="D124" s="22"/>
      <c r="H124" s="235"/>
      <c r="I124" s="235"/>
      <c r="J124" s="235"/>
      <c r="K124" s="235"/>
      <c r="L124" s="235"/>
      <c r="M124" s="235"/>
      <c r="N124" s="235"/>
      <c r="O124" s="235"/>
      <c r="P124" s="235"/>
      <c r="Q124" s="235"/>
      <c r="R124" s="235"/>
      <c r="S124" s="235"/>
      <c r="T124" s="235"/>
      <c r="U124" s="235"/>
      <c r="V124" s="235"/>
      <c r="W124" s="235"/>
      <c r="X124" s="235"/>
      <c r="Y124" s="235"/>
      <c r="Z124" s="235"/>
      <c r="AA124" s="235"/>
      <c r="AB124" s="235"/>
      <c r="AC124" s="235"/>
      <c r="AD124" s="235"/>
      <c r="AE124" s="235"/>
      <c r="AF124" s="235"/>
      <c r="AG124" s="235"/>
      <c r="AH124" s="235"/>
      <c r="AI124" s="235"/>
      <c r="AJ124" s="235"/>
    </row>
    <row r="125" spans="1:36" ht="15">
      <c r="A125" s="2" t="s">
        <v>170</v>
      </c>
      <c r="B125" s="2"/>
      <c r="C125" s="295"/>
      <c r="D125" s="22"/>
      <c r="E125" s="314"/>
    </row>
    <row r="126" spans="1:36">
      <c r="A126" s="57"/>
      <c r="B126" s="67"/>
      <c r="C126" s="67" t="s">
        <v>171</v>
      </c>
      <c r="D126" s="302" t="s">
        <v>172</v>
      </c>
      <c r="E126" s="312">
        <f>'REF Traffic'!$W$41+'REF Traffic'!$X$41</f>
        <v>230</v>
      </c>
      <c r="F126" s="60" t="s">
        <v>148</v>
      </c>
    </row>
    <row r="127" spans="1:36">
      <c r="A127" s="61"/>
      <c r="C127" s="1" t="s">
        <v>171</v>
      </c>
      <c r="D127" s="87" t="s">
        <v>112</v>
      </c>
      <c r="E127" s="23">
        <f>'REF Traffic'!$W$39</f>
        <v>2023</v>
      </c>
      <c r="F127" s="62" t="s">
        <v>148</v>
      </c>
    </row>
    <row r="128" spans="1:36">
      <c r="A128" s="61"/>
      <c r="C128" s="1" t="s">
        <v>173</v>
      </c>
      <c r="D128" s="87" t="s">
        <v>172</v>
      </c>
      <c r="E128" s="105">
        <f>'REF Traffic'!$Y$41+'REF Traffic'!$Z$41</f>
        <v>561</v>
      </c>
      <c r="F128" s="62" t="s">
        <v>148</v>
      </c>
    </row>
    <row r="129" spans="1:6">
      <c r="A129" s="61"/>
      <c r="C129" s="1" t="s">
        <v>173</v>
      </c>
      <c r="D129" s="87" t="s">
        <v>112</v>
      </c>
      <c r="E129" s="23">
        <f>'REF Traffic'!$Y$39</f>
        <v>2046</v>
      </c>
      <c r="F129" s="62" t="s">
        <v>148</v>
      </c>
    </row>
    <row r="130" spans="1:6">
      <c r="A130" s="61"/>
      <c r="C130" s="1" t="s">
        <v>174</v>
      </c>
      <c r="D130" s="87" t="s">
        <v>172</v>
      </c>
      <c r="E130" s="105">
        <f>'REF Traffic'!$W$42+'REF Traffic'!$X$42</f>
        <v>196</v>
      </c>
      <c r="F130" s="62" t="s">
        <v>148</v>
      </c>
    </row>
    <row r="131" spans="1:6">
      <c r="A131" s="61"/>
      <c r="C131" s="1" t="s">
        <v>174</v>
      </c>
      <c r="D131" s="87" t="s">
        <v>112</v>
      </c>
      <c r="E131" s="23">
        <f>'REF Traffic'!$W$39</f>
        <v>2023</v>
      </c>
      <c r="F131" s="62" t="s">
        <v>148</v>
      </c>
    </row>
    <row r="132" spans="1:6">
      <c r="A132" s="61"/>
      <c r="C132" s="1" t="s">
        <v>175</v>
      </c>
      <c r="D132" s="87" t="s">
        <v>172</v>
      </c>
      <c r="E132" s="105">
        <f>'REF Traffic'!$Y$42+'REF Traffic'!$Z$42</f>
        <v>399</v>
      </c>
      <c r="F132" s="62" t="s">
        <v>148</v>
      </c>
    </row>
    <row r="133" spans="1:6">
      <c r="A133" s="63"/>
      <c r="B133" s="68"/>
      <c r="C133" s="68" t="s">
        <v>175</v>
      </c>
      <c r="D133" s="95" t="s">
        <v>112</v>
      </c>
      <c r="E133" s="313">
        <f>'REF Traffic'!$Y$39</f>
        <v>2046</v>
      </c>
      <c r="F133" s="66" t="s">
        <v>148</v>
      </c>
    </row>
    <row r="134" spans="1:6">
      <c r="D134" s="87"/>
      <c r="E134" s="23"/>
    </row>
    <row r="135" spans="1:6" ht="15">
      <c r="A135" s="2" t="s">
        <v>176</v>
      </c>
      <c r="B135" s="2"/>
      <c r="D135" s="22"/>
      <c r="E135" s="5"/>
    </row>
    <row r="136" spans="1:6">
      <c r="A136" s="57"/>
      <c r="B136" s="67"/>
      <c r="C136" s="67" t="s">
        <v>177</v>
      </c>
      <c r="D136" s="317" t="s">
        <v>49</v>
      </c>
      <c r="E136" s="67">
        <f>'REF Pedestrian'!$C$8</f>
        <v>2023</v>
      </c>
      <c r="F136" s="60" t="s">
        <v>178</v>
      </c>
    </row>
    <row r="137" spans="1:6">
      <c r="A137" s="61"/>
      <c r="C137" s="1" t="s">
        <v>179</v>
      </c>
      <c r="D137" s="87" t="s">
        <v>180</v>
      </c>
      <c r="E137" s="86">
        <f>'REF Pedestrian'!$C$7</f>
        <v>68.5</v>
      </c>
      <c r="F137" s="62" t="s">
        <v>178</v>
      </c>
    </row>
    <row r="138" spans="1:6">
      <c r="A138" s="61"/>
      <c r="C138" s="1" t="s">
        <v>181</v>
      </c>
      <c r="D138" s="22" t="s">
        <v>66</v>
      </c>
      <c r="E138" s="299">
        <f>'REF Pedestrian'!$D$21*(1+$E$139)</f>
        <v>5.3992539027215708E-3</v>
      </c>
      <c r="F138" s="62" t="s">
        <v>182</v>
      </c>
    </row>
    <row r="139" spans="1:6">
      <c r="A139" s="284"/>
      <c r="B139" s="284">
        <f>IF(E139=0,0,1)</f>
        <v>0</v>
      </c>
      <c r="C139" s="284" t="s">
        <v>181</v>
      </c>
      <c r="D139" s="358" t="s">
        <v>66</v>
      </c>
      <c r="E139" s="357">
        <v>0</v>
      </c>
      <c r="F139" s="359" t="s">
        <v>82</v>
      </c>
    </row>
    <row r="140" spans="1:6">
      <c r="A140" s="61"/>
      <c r="C140" s="295" t="s">
        <v>183</v>
      </c>
      <c r="D140" s="22" t="s">
        <v>184</v>
      </c>
      <c r="E140" s="232">
        <f>'REF USDOT BCA 2023 Guidlines'!AF114</f>
        <v>0.11</v>
      </c>
      <c r="F140" s="62" t="s">
        <v>185</v>
      </c>
    </row>
    <row r="141" spans="1:6">
      <c r="A141" s="61"/>
      <c r="C141" s="295" t="s">
        <v>186</v>
      </c>
      <c r="D141" s="22" t="s">
        <v>187</v>
      </c>
      <c r="E141" s="232">
        <f>'REF USDOT BCA 2023 Guidlines'!AF120</f>
        <v>0.18</v>
      </c>
      <c r="F141" s="62" t="s">
        <v>185</v>
      </c>
    </row>
    <row r="142" spans="1:6">
      <c r="A142" s="63"/>
      <c r="B142" s="68"/>
      <c r="C142" s="234" t="s">
        <v>188</v>
      </c>
      <c r="D142" s="64" t="s">
        <v>187</v>
      </c>
      <c r="E142" s="233">
        <f>'REF USDOT BCA 2023 Guidlines'!AF121</f>
        <v>0.48</v>
      </c>
      <c r="F142" s="66" t="s">
        <v>185</v>
      </c>
    </row>
    <row r="143" spans="1:6">
      <c r="C143" s="295"/>
      <c r="D143" s="22"/>
      <c r="E143" s="314"/>
    </row>
    <row r="144" spans="1:6" ht="15">
      <c r="A144" s="2" t="s">
        <v>189</v>
      </c>
      <c r="B144" s="2"/>
      <c r="D144" s="21"/>
    </row>
    <row r="145" spans="1:6">
      <c r="A145" s="57"/>
      <c r="B145" s="67"/>
      <c r="C145" s="67" t="s">
        <v>190</v>
      </c>
      <c r="D145" s="58" t="s">
        <v>191</v>
      </c>
      <c r="E145" s="236">
        <v>10</v>
      </c>
      <c r="F145" s="60" t="s">
        <v>192</v>
      </c>
    </row>
    <row r="146" spans="1:6">
      <c r="A146" s="61"/>
      <c r="C146" s="1" t="s">
        <v>193</v>
      </c>
      <c r="D146" s="22" t="s">
        <v>194</v>
      </c>
      <c r="E146" s="230">
        <v>4</v>
      </c>
      <c r="F146" s="62" t="s">
        <v>192</v>
      </c>
    </row>
    <row r="147" spans="1:6">
      <c r="A147" s="61"/>
      <c r="C147" s="1" t="s">
        <v>195</v>
      </c>
      <c r="D147" s="22" t="s">
        <v>191</v>
      </c>
      <c r="E147" s="230">
        <v>276</v>
      </c>
      <c r="F147" s="62" t="s">
        <v>192</v>
      </c>
    </row>
    <row r="148" spans="1:6">
      <c r="A148" s="61"/>
      <c r="C148" s="1" t="s">
        <v>196</v>
      </c>
      <c r="D148" s="22" t="s">
        <v>197</v>
      </c>
      <c r="E148" s="231">
        <f>E145/E147</f>
        <v>3.6231884057971016E-2</v>
      </c>
      <c r="F148" s="62" t="s">
        <v>3</v>
      </c>
    </row>
    <row r="149" spans="1:6">
      <c r="A149" s="61"/>
      <c r="C149" s="1" t="s">
        <v>196</v>
      </c>
      <c r="D149" s="22" t="s">
        <v>198</v>
      </c>
      <c r="E149" s="231">
        <f>E148/E146</f>
        <v>9.057971014492754E-3</v>
      </c>
      <c r="F149" s="62" t="s">
        <v>3</v>
      </c>
    </row>
    <row r="150" spans="1:6">
      <c r="A150" s="61"/>
      <c r="C150" s="1" t="s">
        <v>199</v>
      </c>
      <c r="D150" s="22" t="s">
        <v>80</v>
      </c>
      <c r="E150" s="232">
        <v>0</v>
      </c>
      <c r="F150" s="62" t="s">
        <v>200</v>
      </c>
    </row>
    <row r="151" spans="1:6">
      <c r="A151" s="61"/>
      <c r="C151" s="1" t="s">
        <v>201</v>
      </c>
      <c r="D151" s="22" t="s">
        <v>80</v>
      </c>
      <c r="E151" s="6">
        <f>'REF Bridge Hits'!$F$36</f>
        <v>165985.14000000001</v>
      </c>
      <c r="F151" s="62" t="s">
        <v>192</v>
      </c>
    </row>
    <row r="152" spans="1:6">
      <c r="A152" s="63"/>
      <c r="B152" s="68"/>
      <c r="C152" s="68" t="s">
        <v>202</v>
      </c>
      <c r="D152" s="64" t="s">
        <v>114</v>
      </c>
      <c r="E152" s="237">
        <f>E150+E151</f>
        <v>165985.14000000001</v>
      </c>
      <c r="F152" s="66" t="s">
        <v>3</v>
      </c>
    </row>
    <row r="153" spans="1:6">
      <c r="B153" s="1">
        <f>SUM(B12:B152)</f>
        <v>0</v>
      </c>
    </row>
    <row r="155" spans="1:6">
      <c r="C155" s="23"/>
      <c r="D155" s="22"/>
      <c r="E155" s="4"/>
    </row>
    <row r="156" spans="1:6">
      <c r="C156" s="23"/>
      <c r="D156" s="22"/>
      <c r="E156" s="4"/>
    </row>
    <row r="157" spans="1:6">
      <c r="D157" s="21"/>
    </row>
  </sheetData>
  <phoneticPr fontId="16" type="noConversion"/>
  <conditionalFormatting sqref="D7">
    <cfRule type="cellIs" dxfId="14" priority="1" operator="equal">
      <formula>"YES"</formula>
    </cfRule>
  </conditionalFormatting>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7569B-2D48-4044-B6AE-31F034CBE803}">
  <sheetPr>
    <tabColor theme="2" tint="-0.249977111117893"/>
  </sheetPr>
  <dimension ref="B2:I53"/>
  <sheetViews>
    <sheetView workbookViewId="0">
      <selection activeCell="B2" sqref="B2"/>
    </sheetView>
  </sheetViews>
  <sheetFormatPr defaultRowHeight="15"/>
  <cols>
    <col min="4" max="4" width="31.85546875" customWidth="1"/>
    <col min="5" max="5" width="9.5703125" bestFit="1" customWidth="1"/>
  </cols>
  <sheetData>
    <row r="2" spans="2:3">
      <c r="B2" t="s">
        <v>407</v>
      </c>
      <c r="C2" s="193" t="s">
        <v>812</v>
      </c>
    </row>
    <row r="28" spans="3:9">
      <c r="I28">
        <v>2020</v>
      </c>
    </row>
    <row r="32" spans="3:9">
      <c r="C32" t="s">
        <v>49</v>
      </c>
      <c r="D32" t="s">
        <v>813</v>
      </c>
      <c r="E32" t="s">
        <v>814</v>
      </c>
    </row>
    <row r="33" spans="3:5">
      <c r="C33">
        <v>2003</v>
      </c>
      <c r="D33" t="s">
        <v>815</v>
      </c>
      <c r="E33" s="102">
        <f>'REF USDOT BCA 2023 Guidlines'!AG91</f>
        <v>1.44</v>
      </c>
    </row>
    <row r="34" spans="3:5">
      <c r="C34">
        <v>2004</v>
      </c>
      <c r="D34" t="s">
        <v>815</v>
      </c>
      <c r="E34" s="102">
        <f>'REF USDOT BCA 2023 Guidlines'!AG92</f>
        <v>1.4</v>
      </c>
    </row>
    <row r="35" spans="3:5">
      <c r="C35">
        <v>2005</v>
      </c>
      <c r="D35" t="s">
        <v>815</v>
      </c>
      <c r="E35" s="102">
        <f>'REF USDOT BCA 2023 Guidlines'!AG93</f>
        <v>1.36</v>
      </c>
    </row>
    <row r="36" spans="3:5">
      <c r="C36">
        <v>2006</v>
      </c>
      <c r="D36" t="s">
        <v>815</v>
      </c>
      <c r="E36" s="102">
        <f>'REF USDOT BCA 2023 Guidlines'!AG94</f>
        <v>1.32</v>
      </c>
    </row>
    <row r="37" spans="3:5">
      <c r="C37">
        <v>2007</v>
      </c>
      <c r="D37" t="s">
        <v>815</v>
      </c>
      <c r="E37" s="102">
        <f>'REF USDOT BCA 2023 Guidlines'!AG95</f>
        <v>1.28</v>
      </c>
    </row>
    <row r="38" spans="3:5">
      <c r="C38">
        <v>2008</v>
      </c>
      <c r="D38" t="s">
        <v>815</v>
      </c>
      <c r="E38" s="102">
        <f>'REF USDOT BCA 2023 Guidlines'!AG96</f>
        <v>1.26</v>
      </c>
    </row>
    <row r="39" spans="3:5">
      <c r="C39">
        <v>2009</v>
      </c>
      <c r="D39" t="s">
        <v>815</v>
      </c>
      <c r="E39" s="102">
        <f>'REF USDOT BCA 2023 Guidlines'!AG97</f>
        <v>1.25</v>
      </c>
    </row>
    <row r="40" spans="3:5">
      <c r="C40">
        <v>2010</v>
      </c>
      <c r="D40" t="s">
        <v>815</v>
      </c>
      <c r="E40" s="102">
        <f>'REF USDOT BCA 2023 Guidlines'!AG98</f>
        <v>1.24</v>
      </c>
    </row>
    <row r="41" spans="3:5">
      <c r="C41">
        <v>2011</v>
      </c>
      <c r="D41" t="s">
        <v>815</v>
      </c>
      <c r="E41" s="102">
        <f>'REF USDOT BCA 2023 Guidlines'!AG99</f>
        <v>1.21</v>
      </c>
    </row>
    <row r="42" spans="3:5">
      <c r="C42">
        <v>2012</v>
      </c>
      <c r="D42" t="s">
        <v>815</v>
      </c>
      <c r="E42" s="102">
        <f>'REF USDOT BCA 2023 Guidlines'!AG100</f>
        <v>1.19</v>
      </c>
    </row>
    <row r="43" spans="3:5">
      <c r="C43">
        <v>2013</v>
      </c>
      <c r="D43" t="s">
        <v>815</v>
      </c>
      <c r="E43" s="102">
        <f>'REF USDOT BCA 2023 Guidlines'!AG101</f>
        <v>1.17</v>
      </c>
    </row>
    <row r="44" spans="3:5">
      <c r="C44">
        <v>2014</v>
      </c>
      <c r="D44" t="s">
        <v>815</v>
      </c>
      <c r="E44" s="102">
        <f>'REF USDOT BCA 2023 Guidlines'!AG102</f>
        <v>1.1499999999999999</v>
      </c>
    </row>
    <row r="45" spans="3:5">
      <c r="C45">
        <v>2015</v>
      </c>
      <c r="D45" t="s">
        <v>815</v>
      </c>
      <c r="E45" s="102">
        <f>'REF USDOT BCA 2023 Guidlines'!AG103</f>
        <v>1.1399999999999999</v>
      </c>
    </row>
    <row r="46" spans="3:5">
      <c r="C46">
        <v>2016</v>
      </c>
      <c r="D46" t="s">
        <v>815</v>
      </c>
      <c r="E46" s="102">
        <f>'REF USDOT BCA 2023 Guidlines'!AG104</f>
        <v>1.1200000000000001</v>
      </c>
    </row>
    <row r="47" spans="3:5">
      <c r="C47">
        <v>2017</v>
      </c>
      <c r="D47" t="s">
        <v>815</v>
      </c>
      <c r="E47" s="102">
        <f>'REF USDOT BCA 2023 Guidlines'!AG105</f>
        <v>1.1000000000000001</v>
      </c>
    </row>
    <row r="48" spans="3:5">
      <c r="C48">
        <v>2018</v>
      </c>
      <c r="D48" t="s">
        <v>815</v>
      </c>
      <c r="E48" s="102">
        <f>'REF USDOT BCA 2023 Guidlines'!AG106</f>
        <v>1.08</v>
      </c>
    </row>
    <row r="49" spans="3:5">
      <c r="C49">
        <v>2019</v>
      </c>
      <c r="D49" t="s">
        <v>815</v>
      </c>
      <c r="E49" s="102">
        <f>'REF USDOT BCA 2023 Guidlines'!AG107</f>
        <v>1.06</v>
      </c>
    </row>
    <row r="50" spans="3:5">
      <c r="C50">
        <v>2020</v>
      </c>
      <c r="D50" t="s">
        <v>815</v>
      </c>
      <c r="E50" s="102">
        <f>'REF USDOT BCA 2023 Guidlines'!AG108</f>
        <v>1.04</v>
      </c>
    </row>
    <row r="51" spans="3:5">
      <c r="C51">
        <v>2021</v>
      </c>
      <c r="D51" s="285">
        <v>22313.9</v>
      </c>
      <c r="E51" s="102">
        <f>'REF USDOT BCA 2023 Guidlines'!AG109</f>
        <v>1</v>
      </c>
    </row>
    <row r="52" spans="3:5">
      <c r="C52">
        <v>2022</v>
      </c>
      <c r="D52" s="285">
        <v>24740.5</v>
      </c>
      <c r="E52" s="102">
        <f>$D$51/D52</f>
        <v>0.9019179078838343</v>
      </c>
    </row>
    <row r="53" spans="3:5">
      <c r="C53">
        <v>2023</v>
      </c>
      <c r="D53" s="285">
        <v>26132.5</v>
      </c>
      <c r="E53" s="102">
        <f>$D$51/D53</f>
        <v>0.8538754424567111</v>
      </c>
    </row>
  </sheetData>
  <hyperlinks>
    <hyperlink ref="C2" r:id="rId1" location="eyJhcHBpZCI6MTksInN0ZXBzIjpbMSwyLDNdLCJkYXRhIjpbWyJOSVBBX1RhYmxlX0xpc3QiLCI1Il0sWyJDYXRlZ29yaWVzIiwiU3VydmV5Il1dfQ==" xr:uid="{59755D55-5B3D-437E-BED0-17AC76C58FA5}"/>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2E56B-2FB8-4065-9914-34ED5F60F74A}">
  <sheetPr>
    <tabColor theme="2" tint="-0.249977111117893"/>
  </sheetPr>
  <dimension ref="A1:AG2841"/>
  <sheetViews>
    <sheetView workbookViewId="0">
      <pane xSplit="2" ySplit="13" topLeftCell="C14" activePane="bottomRight" state="frozen"/>
      <selection pane="bottomRight" activeCell="B2" sqref="B2"/>
      <selection pane="bottomLeft" activeCell="K8" sqref="K8"/>
      <selection pane="topRight" activeCell="K8" sqref="K8"/>
    </sheetView>
  </sheetViews>
  <sheetFormatPr defaultRowHeight="15"/>
  <cols>
    <col min="1" max="1" width="4.28515625" customWidth="1"/>
    <col min="2" max="2" width="44.42578125" customWidth="1"/>
  </cols>
  <sheetData>
    <row r="1" spans="1:33" ht="15" customHeight="1" thickBot="1">
      <c r="B1" s="166" t="s">
        <v>816</v>
      </c>
      <c r="C1" s="167">
        <v>2021</v>
      </c>
      <c r="D1" s="167">
        <v>2022</v>
      </c>
      <c r="E1" s="167">
        <v>2023</v>
      </c>
      <c r="F1" s="167">
        <v>2024</v>
      </c>
      <c r="G1" s="167">
        <v>2025</v>
      </c>
      <c r="H1" s="167">
        <v>2026</v>
      </c>
      <c r="I1" s="167">
        <v>2027</v>
      </c>
      <c r="J1" s="167">
        <v>2028</v>
      </c>
      <c r="K1" s="167">
        <v>2029</v>
      </c>
      <c r="L1" s="167">
        <v>2030</v>
      </c>
      <c r="M1" s="167">
        <v>2031</v>
      </c>
      <c r="N1" s="167">
        <v>2032</v>
      </c>
      <c r="O1" s="167">
        <v>2033</v>
      </c>
      <c r="P1" s="167">
        <v>2034</v>
      </c>
      <c r="Q1" s="167">
        <v>2035</v>
      </c>
      <c r="R1" s="167">
        <v>2036</v>
      </c>
      <c r="S1" s="167">
        <v>2037</v>
      </c>
      <c r="T1" s="167">
        <v>2038</v>
      </c>
      <c r="U1" s="167">
        <v>2039</v>
      </c>
      <c r="V1" s="167">
        <v>2040</v>
      </c>
      <c r="W1" s="167">
        <v>2041</v>
      </c>
      <c r="X1" s="167">
        <v>2042</v>
      </c>
      <c r="Y1" s="167">
        <v>2043</v>
      </c>
      <c r="Z1" s="167">
        <v>2044</v>
      </c>
      <c r="AA1" s="167">
        <v>2045</v>
      </c>
      <c r="AB1" s="167">
        <v>2046</v>
      </c>
      <c r="AC1" s="167">
        <v>2047</v>
      </c>
      <c r="AD1" s="167">
        <v>2048</v>
      </c>
      <c r="AE1" s="167">
        <v>2049</v>
      </c>
      <c r="AF1" s="167">
        <v>2050</v>
      </c>
    </row>
    <row r="2" spans="1:33" ht="15" customHeight="1" thickTop="1">
      <c r="B2" s="168" t="s">
        <v>817</v>
      </c>
    </row>
    <row r="3" spans="1:33" ht="15" customHeight="1">
      <c r="B3" s="169" t="s">
        <v>818</v>
      </c>
      <c r="C3" s="170" t="s">
        <v>819</v>
      </c>
      <c r="D3" s="170" t="s">
        <v>820</v>
      </c>
      <c r="E3" s="170"/>
      <c r="F3" s="170"/>
      <c r="G3" s="170"/>
    </row>
    <row r="4" spans="1:33" ht="15" customHeight="1">
      <c r="B4" s="171" t="s">
        <v>821</v>
      </c>
      <c r="C4" s="170" t="s">
        <v>822</v>
      </c>
      <c r="D4" s="170" t="s">
        <v>823</v>
      </c>
      <c r="E4" s="170"/>
      <c r="F4" s="170"/>
      <c r="G4" s="170" t="s">
        <v>824</v>
      </c>
    </row>
    <row r="5" spans="1:33" ht="15" customHeight="1" thickBot="1">
      <c r="B5" s="172"/>
      <c r="C5" s="170" t="s">
        <v>825</v>
      </c>
      <c r="D5" s="170" t="s">
        <v>826</v>
      </c>
      <c r="E5" s="170"/>
      <c r="F5" s="170"/>
      <c r="G5" s="170"/>
    </row>
    <row r="6" spans="1:33" ht="15" customHeight="1">
      <c r="C6" s="170" t="s">
        <v>827</v>
      </c>
      <c r="D6" s="170"/>
      <c r="E6" s="170" t="s">
        <v>828</v>
      </c>
      <c r="F6" s="170"/>
      <c r="G6" s="170"/>
    </row>
    <row r="10" spans="1:33" ht="15" customHeight="1">
      <c r="A10" s="173" t="s">
        <v>829</v>
      </c>
      <c r="B10" s="174" t="s">
        <v>830</v>
      </c>
      <c r="AG10" s="175" t="s">
        <v>831</v>
      </c>
    </row>
    <row r="11" spans="1:33" ht="15" customHeight="1">
      <c r="B11" s="166" t="s">
        <v>832</v>
      </c>
      <c r="AG11" s="175" t="s">
        <v>833</v>
      </c>
    </row>
    <row r="12" spans="1:33" ht="15" customHeight="1">
      <c r="B12" s="166"/>
      <c r="C12" s="176"/>
      <c r="D12" s="176"/>
      <c r="E12" s="176"/>
      <c r="F12" s="176"/>
      <c r="G12" s="176"/>
      <c r="H12" s="176"/>
      <c r="I12" s="176"/>
      <c r="J12" s="176"/>
      <c r="K12" s="176"/>
      <c r="L12" s="176"/>
      <c r="M12" s="176"/>
      <c r="N12" s="176"/>
      <c r="O12" s="176"/>
      <c r="P12" s="176"/>
      <c r="Q12" s="176"/>
      <c r="R12" s="176"/>
      <c r="S12" s="176"/>
      <c r="T12" s="176"/>
      <c r="U12" s="176"/>
      <c r="V12" s="176"/>
      <c r="W12" s="176"/>
      <c r="X12" s="176"/>
      <c r="Y12" s="176"/>
      <c r="Z12" s="176"/>
      <c r="AA12" s="176"/>
      <c r="AB12" s="176"/>
      <c r="AC12" s="176"/>
      <c r="AD12" s="176"/>
      <c r="AE12" s="176"/>
      <c r="AF12" s="176"/>
      <c r="AG12" s="175" t="s">
        <v>834</v>
      </c>
    </row>
    <row r="13" spans="1:33" ht="15" customHeight="1" thickBot="1">
      <c r="B13" s="167" t="s">
        <v>835</v>
      </c>
      <c r="C13" s="167">
        <v>2021</v>
      </c>
      <c r="D13" s="167">
        <v>2022</v>
      </c>
      <c r="E13" s="167">
        <v>2023</v>
      </c>
      <c r="F13" s="167">
        <v>2024</v>
      </c>
      <c r="G13" s="167">
        <v>2025</v>
      </c>
      <c r="H13" s="167">
        <v>2026</v>
      </c>
      <c r="I13" s="167">
        <v>2027</v>
      </c>
      <c r="J13" s="167">
        <v>2028</v>
      </c>
      <c r="K13" s="167">
        <v>2029</v>
      </c>
      <c r="L13" s="167">
        <v>2030</v>
      </c>
      <c r="M13" s="167">
        <v>2031</v>
      </c>
      <c r="N13" s="167">
        <v>2032</v>
      </c>
      <c r="O13" s="167">
        <v>2033</v>
      </c>
      <c r="P13" s="167">
        <v>2034</v>
      </c>
      <c r="Q13" s="167">
        <v>2035</v>
      </c>
      <c r="R13" s="167">
        <v>2036</v>
      </c>
      <c r="S13" s="167">
        <v>2037</v>
      </c>
      <c r="T13" s="167">
        <v>2038</v>
      </c>
      <c r="U13" s="167">
        <v>2039</v>
      </c>
      <c r="V13" s="167">
        <v>2040</v>
      </c>
      <c r="W13" s="167">
        <v>2041</v>
      </c>
      <c r="X13" s="167">
        <v>2042</v>
      </c>
      <c r="Y13" s="167">
        <v>2043</v>
      </c>
      <c r="Z13" s="167">
        <v>2044</v>
      </c>
      <c r="AA13" s="167">
        <v>2045</v>
      </c>
      <c r="AB13" s="167">
        <v>2046</v>
      </c>
      <c r="AC13" s="167">
        <v>2047</v>
      </c>
      <c r="AD13" s="167">
        <v>2048</v>
      </c>
      <c r="AE13" s="167">
        <v>2049</v>
      </c>
      <c r="AF13" s="167">
        <v>2050</v>
      </c>
      <c r="AG13" s="177" t="s">
        <v>836</v>
      </c>
    </row>
    <row r="14" spans="1:33" ht="15" customHeight="1" thickTop="1"/>
    <row r="15" spans="1:33" ht="15" customHeight="1">
      <c r="B15" s="178" t="s">
        <v>837</v>
      </c>
    </row>
    <row r="16" spans="1:33" ht="15" customHeight="1">
      <c r="A16" s="173" t="s">
        <v>838</v>
      </c>
      <c r="B16" s="179" t="s">
        <v>839</v>
      </c>
      <c r="C16" s="180">
        <v>71.587997000000001</v>
      </c>
      <c r="D16" s="180">
        <v>70.213927999999996</v>
      </c>
      <c r="E16" s="180">
        <v>60.555264000000001</v>
      </c>
      <c r="F16" s="180">
        <v>65.698181000000005</v>
      </c>
      <c r="G16" s="180">
        <v>66.966232000000005</v>
      </c>
      <c r="H16" s="180">
        <v>68.566528000000005</v>
      </c>
      <c r="I16" s="180">
        <v>70.331649999999996</v>
      </c>
      <c r="J16" s="180">
        <v>71.846969999999999</v>
      </c>
      <c r="K16" s="180">
        <v>72.554810000000003</v>
      </c>
      <c r="L16" s="180">
        <v>73.927574000000007</v>
      </c>
      <c r="M16" s="180">
        <v>75.428145999999998</v>
      </c>
      <c r="N16" s="180">
        <v>76.548935</v>
      </c>
      <c r="O16" s="180">
        <v>77.393790999999993</v>
      </c>
      <c r="P16" s="180">
        <v>78.101562000000001</v>
      </c>
      <c r="Q16" s="180">
        <v>78.826622</v>
      </c>
      <c r="R16" s="180">
        <v>79.945999</v>
      </c>
      <c r="S16" s="180">
        <v>80.923584000000005</v>
      </c>
      <c r="T16" s="180">
        <v>81.905868999999996</v>
      </c>
      <c r="U16" s="180">
        <v>82.210007000000004</v>
      </c>
      <c r="V16" s="180">
        <v>83.920638999999994</v>
      </c>
      <c r="W16" s="180">
        <v>84.768226999999996</v>
      </c>
      <c r="X16" s="180">
        <v>85.086143000000007</v>
      </c>
      <c r="Y16" s="180">
        <v>86.488570999999993</v>
      </c>
      <c r="Z16" s="180">
        <v>88.146811999999997</v>
      </c>
      <c r="AA16" s="180">
        <v>88.602631000000002</v>
      </c>
      <c r="AB16" s="180">
        <v>89.846305999999998</v>
      </c>
      <c r="AC16" s="180">
        <v>90.272803999999994</v>
      </c>
      <c r="AD16" s="180">
        <v>90.105484000000004</v>
      </c>
      <c r="AE16" s="180">
        <v>90.229286000000002</v>
      </c>
      <c r="AF16" s="180">
        <v>89.908057999999997</v>
      </c>
      <c r="AG16" s="181">
        <v>7.8879999999999992E-3</v>
      </c>
    </row>
    <row r="17" spans="1:33" ht="15" customHeight="1">
      <c r="A17" s="173" t="s">
        <v>840</v>
      </c>
      <c r="B17" s="179" t="s">
        <v>841</v>
      </c>
      <c r="C17" s="180">
        <v>69.023003000000003</v>
      </c>
      <c r="D17" s="180">
        <v>66.671440000000004</v>
      </c>
      <c r="E17" s="180">
        <v>58.789005000000003</v>
      </c>
      <c r="F17" s="180">
        <v>63.971465999999999</v>
      </c>
      <c r="G17" s="180">
        <v>64.730819999999994</v>
      </c>
      <c r="H17" s="180">
        <v>65.986869999999996</v>
      </c>
      <c r="I17" s="180">
        <v>67.861976999999996</v>
      </c>
      <c r="J17" s="180">
        <v>69.232902999999993</v>
      </c>
      <c r="K17" s="180">
        <v>70.250511000000003</v>
      </c>
      <c r="L17" s="180">
        <v>71.330612000000002</v>
      </c>
      <c r="M17" s="180">
        <v>72.823188999999999</v>
      </c>
      <c r="N17" s="180">
        <v>73.993660000000006</v>
      </c>
      <c r="O17" s="180">
        <v>74.785088000000002</v>
      </c>
      <c r="P17" s="180">
        <v>75.188484000000003</v>
      </c>
      <c r="Q17" s="180">
        <v>75.902907999999996</v>
      </c>
      <c r="R17" s="180">
        <v>77.117073000000005</v>
      </c>
      <c r="S17" s="180">
        <v>78.005936000000005</v>
      </c>
      <c r="T17" s="180">
        <v>79.037025</v>
      </c>
      <c r="U17" s="180">
        <v>79.295051999999998</v>
      </c>
      <c r="V17" s="180">
        <v>80.803855999999996</v>
      </c>
      <c r="W17" s="180">
        <v>81.726851999999994</v>
      </c>
      <c r="X17" s="180">
        <v>82.116341000000006</v>
      </c>
      <c r="Y17" s="180">
        <v>83.541427999999996</v>
      </c>
      <c r="Z17" s="180">
        <v>85.256896999999995</v>
      </c>
      <c r="AA17" s="180">
        <v>85.725876</v>
      </c>
      <c r="AB17" s="180">
        <v>86.969375999999997</v>
      </c>
      <c r="AC17" s="180">
        <v>86.918678</v>
      </c>
      <c r="AD17" s="180">
        <v>87.038887000000003</v>
      </c>
      <c r="AE17" s="180">
        <v>87.344871999999995</v>
      </c>
      <c r="AF17" s="180">
        <v>87.069678999999994</v>
      </c>
      <c r="AG17" s="181">
        <v>8.0409999999999995E-3</v>
      </c>
    </row>
    <row r="18" spans="1:33" ht="15" customHeight="1">
      <c r="A18" s="173" t="s">
        <v>842</v>
      </c>
      <c r="B18" s="179" t="s">
        <v>843</v>
      </c>
      <c r="C18" s="180">
        <v>67.706001000000001</v>
      </c>
      <c r="D18" s="180">
        <v>64.319237000000001</v>
      </c>
      <c r="E18" s="180">
        <v>57.945065</v>
      </c>
      <c r="F18" s="180">
        <v>62.890735999999997</v>
      </c>
      <c r="G18" s="180">
        <v>63.974074999999999</v>
      </c>
      <c r="H18" s="180">
        <v>65.066909999999993</v>
      </c>
      <c r="I18" s="180">
        <v>66.891639999999995</v>
      </c>
      <c r="J18" s="180">
        <v>68.063552999999999</v>
      </c>
      <c r="K18" s="180">
        <v>68.855461000000005</v>
      </c>
      <c r="L18" s="180">
        <v>69.690856999999994</v>
      </c>
      <c r="M18" s="180">
        <v>70.628356999999994</v>
      </c>
      <c r="N18" s="180">
        <v>71.660895999999994</v>
      </c>
      <c r="O18" s="180">
        <v>72.361701999999994</v>
      </c>
      <c r="P18" s="180">
        <v>72.994452999999993</v>
      </c>
      <c r="Q18" s="180">
        <v>73.513107000000005</v>
      </c>
      <c r="R18" s="180">
        <v>74.46199</v>
      </c>
      <c r="S18" s="180">
        <v>74.433318999999997</v>
      </c>
      <c r="T18" s="180">
        <v>75.734886000000003</v>
      </c>
      <c r="U18" s="180">
        <v>75.583427</v>
      </c>
      <c r="V18" s="180">
        <v>78.244843000000003</v>
      </c>
      <c r="W18" s="180">
        <v>79.180992000000003</v>
      </c>
      <c r="X18" s="180">
        <v>79.736382000000006</v>
      </c>
      <c r="Y18" s="180">
        <v>81.552398999999994</v>
      </c>
      <c r="Z18" s="180">
        <v>82.942802</v>
      </c>
      <c r="AA18" s="180">
        <v>83.503570999999994</v>
      </c>
      <c r="AB18" s="180">
        <v>84.887894000000003</v>
      </c>
      <c r="AC18" s="180">
        <v>85.056549000000004</v>
      </c>
      <c r="AD18" s="180">
        <v>84.842690000000005</v>
      </c>
      <c r="AE18" s="180">
        <v>84.916573</v>
      </c>
      <c r="AF18" s="180">
        <v>84.769135000000006</v>
      </c>
      <c r="AG18" s="181">
        <v>7.7799999999999996E-3</v>
      </c>
    </row>
    <row r="19" spans="1:33" ht="15" customHeight="1">
      <c r="A19" s="173" t="s">
        <v>844</v>
      </c>
      <c r="B19" s="179" t="s">
        <v>845</v>
      </c>
      <c r="C19" s="180">
        <v>2.5649950000000001</v>
      </c>
      <c r="D19" s="180">
        <v>3.5424880000000001</v>
      </c>
      <c r="E19" s="180">
        <v>1.7662580000000001</v>
      </c>
      <c r="F19" s="180">
        <v>1.726715</v>
      </c>
      <c r="G19" s="180">
        <v>2.2354129999999999</v>
      </c>
      <c r="H19" s="180">
        <v>2.5796589999999999</v>
      </c>
      <c r="I19" s="180">
        <v>2.4696729999999998</v>
      </c>
      <c r="J19" s="180">
        <v>2.6140669999999999</v>
      </c>
      <c r="K19" s="180">
        <v>2.3042980000000002</v>
      </c>
      <c r="L19" s="180">
        <v>2.596962</v>
      </c>
      <c r="M19" s="180">
        <v>2.6049579999999999</v>
      </c>
      <c r="N19" s="180">
        <v>2.555275</v>
      </c>
      <c r="O19" s="180">
        <v>2.6087039999999999</v>
      </c>
      <c r="P19" s="180">
        <v>2.9130780000000001</v>
      </c>
      <c r="Q19" s="180">
        <v>2.9237139999999999</v>
      </c>
      <c r="R19" s="180">
        <v>2.8289260000000001</v>
      </c>
      <c r="S19" s="180">
        <v>2.9176479999999998</v>
      </c>
      <c r="T19" s="180">
        <v>2.868843</v>
      </c>
      <c r="U19" s="180">
        <v>2.914955</v>
      </c>
      <c r="V19" s="180">
        <v>3.1167829999999999</v>
      </c>
      <c r="W19" s="180">
        <v>3.0413739999999998</v>
      </c>
      <c r="X19" s="180">
        <v>2.9698030000000002</v>
      </c>
      <c r="Y19" s="180">
        <v>2.9471440000000002</v>
      </c>
      <c r="Z19" s="180">
        <v>2.8899149999999998</v>
      </c>
      <c r="AA19" s="180">
        <v>2.8767550000000002</v>
      </c>
      <c r="AB19" s="180">
        <v>2.8769300000000002</v>
      </c>
      <c r="AC19" s="180">
        <v>3.3541259999999999</v>
      </c>
      <c r="AD19" s="180">
        <v>3.0665969999999998</v>
      </c>
      <c r="AE19" s="180">
        <v>2.8844150000000002</v>
      </c>
      <c r="AF19" s="180">
        <v>2.8383790000000002</v>
      </c>
      <c r="AG19" s="181">
        <v>3.4979999999999998E-3</v>
      </c>
    </row>
    <row r="20" spans="1:33" ht="15" customHeight="1"/>
    <row r="21" spans="1:33" ht="15" customHeight="1">
      <c r="B21" s="178" t="s">
        <v>846</v>
      </c>
    </row>
    <row r="22" spans="1:33" ht="15" customHeight="1"/>
    <row r="23" spans="1:33" ht="15" customHeight="1">
      <c r="B23" s="178" t="s">
        <v>847</v>
      </c>
    </row>
    <row r="24" spans="1:33" ht="15" customHeight="1">
      <c r="A24" s="173" t="s">
        <v>848</v>
      </c>
      <c r="B24" s="179" t="s">
        <v>849</v>
      </c>
      <c r="C24" s="182">
        <v>1.964866</v>
      </c>
      <c r="D24" s="182">
        <v>2.123583</v>
      </c>
      <c r="E24" s="182">
        <v>2.1033759999999999</v>
      </c>
      <c r="F24" s="182">
        <v>2.1074329999999999</v>
      </c>
      <c r="G24" s="182">
        <v>2.1023079999999998</v>
      </c>
      <c r="H24" s="182">
        <v>2.1101359999999998</v>
      </c>
      <c r="I24" s="182">
        <v>2.1388739999999999</v>
      </c>
      <c r="J24" s="182">
        <v>2.186563</v>
      </c>
      <c r="K24" s="182">
        <v>2.2316530000000001</v>
      </c>
      <c r="L24" s="182">
        <v>2.278302</v>
      </c>
      <c r="M24" s="182">
        <v>2.3393600000000001</v>
      </c>
      <c r="N24" s="182">
        <v>2.3794110000000002</v>
      </c>
      <c r="O24" s="182">
        <v>2.4191060000000002</v>
      </c>
      <c r="P24" s="182">
        <v>2.44828</v>
      </c>
      <c r="Q24" s="182">
        <v>2.4704090000000001</v>
      </c>
      <c r="R24" s="182">
        <v>2.4916179999999999</v>
      </c>
      <c r="S24" s="182">
        <v>2.5146320000000002</v>
      </c>
      <c r="T24" s="182">
        <v>2.5372150000000002</v>
      </c>
      <c r="U24" s="182">
        <v>2.5539749999999999</v>
      </c>
      <c r="V24" s="182">
        <v>2.5810490000000001</v>
      </c>
      <c r="W24" s="182">
        <v>2.6046179999999999</v>
      </c>
      <c r="X24" s="182">
        <v>2.6174460000000002</v>
      </c>
      <c r="Y24" s="182">
        <v>2.6360969999999999</v>
      </c>
      <c r="Z24" s="182">
        <v>2.6587619999999998</v>
      </c>
      <c r="AA24" s="182">
        <v>2.6716630000000001</v>
      </c>
      <c r="AB24" s="182">
        <v>2.6855470000000001</v>
      </c>
      <c r="AC24" s="182">
        <v>2.6970049999999999</v>
      </c>
      <c r="AD24" s="182">
        <v>2.7051699999999999</v>
      </c>
      <c r="AE24" s="182">
        <v>2.7081029999999999</v>
      </c>
      <c r="AF24" s="182">
        <v>2.7084280000000001</v>
      </c>
      <c r="AG24" s="181">
        <v>1.1129E-2</v>
      </c>
    </row>
    <row r="25" spans="1:33" ht="15" customHeight="1">
      <c r="A25" s="173" t="s">
        <v>850</v>
      </c>
      <c r="B25" s="179" t="s">
        <v>851</v>
      </c>
      <c r="C25" s="182">
        <v>2.981662</v>
      </c>
      <c r="D25" s="182">
        <v>3.0245600000000001</v>
      </c>
      <c r="E25" s="182">
        <v>2.9804010000000001</v>
      </c>
      <c r="F25" s="182">
        <v>3.1727449999999999</v>
      </c>
      <c r="G25" s="182">
        <v>3.2464409999999999</v>
      </c>
      <c r="H25" s="182">
        <v>3.323124</v>
      </c>
      <c r="I25" s="182">
        <v>3.4122539999999999</v>
      </c>
      <c r="J25" s="182">
        <v>3.4375249999999999</v>
      </c>
      <c r="K25" s="182">
        <v>3.4540700000000002</v>
      </c>
      <c r="L25" s="182">
        <v>3.449414</v>
      </c>
      <c r="M25" s="182">
        <v>3.48699</v>
      </c>
      <c r="N25" s="182">
        <v>3.5012590000000001</v>
      </c>
      <c r="O25" s="182">
        <v>3.5098600000000002</v>
      </c>
      <c r="P25" s="182">
        <v>3.5165649999999999</v>
      </c>
      <c r="Q25" s="182">
        <v>3.5273219999999998</v>
      </c>
      <c r="R25" s="182">
        <v>3.5506600000000001</v>
      </c>
      <c r="S25" s="182">
        <v>3.5803419999999999</v>
      </c>
      <c r="T25" s="182">
        <v>3.5975039999999998</v>
      </c>
      <c r="U25" s="182">
        <v>3.6069089999999999</v>
      </c>
      <c r="V25" s="182">
        <v>3.6377250000000001</v>
      </c>
      <c r="W25" s="182">
        <v>3.6507459999999998</v>
      </c>
      <c r="X25" s="182">
        <v>3.6524390000000002</v>
      </c>
      <c r="Y25" s="182">
        <v>3.6834730000000002</v>
      </c>
      <c r="Z25" s="182">
        <v>3.7191299999999998</v>
      </c>
      <c r="AA25" s="182">
        <v>3.7326320000000002</v>
      </c>
      <c r="AB25" s="182">
        <v>3.7608199999999998</v>
      </c>
      <c r="AC25" s="182">
        <v>3.7647390000000001</v>
      </c>
      <c r="AD25" s="182">
        <v>3.753911</v>
      </c>
      <c r="AE25" s="182">
        <v>3.7515239999999999</v>
      </c>
      <c r="AF25" s="182">
        <v>3.744075</v>
      </c>
      <c r="AG25" s="181">
        <v>7.8820000000000001E-3</v>
      </c>
    </row>
    <row r="26" spans="1:33" ht="15" customHeight="1"/>
    <row r="27" spans="1:33" ht="15" customHeight="1">
      <c r="B27" s="178" t="s">
        <v>852</v>
      </c>
    </row>
    <row r="28" spans="1:33" ht="15" customHeight="1">
      <c r="A28" s="173" t="s">
        <v>853</v>
      </c>
      <c r="B28" s="179" t="s">
        <v>851</v>
      </c>
      <c r="C28" s="182">
        <v>2.9924080000000002</v>
      </c>
      <c r="D28" s="182">
        <v>3.0359509999999998</v>
      </c>
      <c r="E28" s="182">
        <v>2.8329140000000002</v>
      </c>
      <c r="F28" s="182">
        <v>2.8822359999999998</v>
      </c>
      <c r="G28" s="182">
        <v>2.807518</v>
      </c>
      <c r="H28" s="182">
        <v>2.7367349999999999</v>
      </c>
      <c r="I28" s="182">
        <v>2.680212</v>
      </c>
      <c r="J28" s="182">
        <v>2.7063730000000001</v>
      </c>
      <c r="K28" s="182">
        <v>2.7221950000000001</v>
      </c>
      <c r="L28" s="182">
        <v>2.7178680000000002</v>
      </c>
      <c r="M28" s="182">
        <v>2.79853</v>
      </c>
      <c r="N28" s="182">
        <v>2.813542</v>
      </c>
      <c r="O28" s="182">
        <v>2.829107</v>
      </c>
      <c r="P28" s="182">
        <v>2.836411</v>
      </c>
      <c r="Q28" s="182">
        <v>2.8491230000000001</v>
      </c>
      <c r="R28" s="182">
        <v>2.8728760000000002</v>
      </c>
      <c r="S28" s="182">
        <v>2.9028879999999999</v>
      </c>
      <c r="T28" s="182">
        <v>2.9206699999999999</v>
      </c>
      <c r="U28" s="182">
        <v>2.930088</v>
      </c>
      <c r="V28" s="182">
        <v>2.9585599999999999</v>
      </c>
      <c r="W28" s="182">
        <v>2.9725820000000001</v>
      </c>
      <c r="X28" s="182">
        <v>2.9747710000000001</v>
      </c>
      <c r="Y28" s="182">
        <v>3.0084270000000002</v>
      </c>
      <c r="Z28" s="182">
        <v>3.0464799999999999</v>
      </c>
      <c r="AA28" s="182">
        <v>3.0611120000000001</v>
      </c>
      <c r="AB28" s="182">
        <v>3.0872320000000002</v>
      </c>
      <c r="AC28" s="182">
        <v>3.0933959999999998</v>
      </c>
      <c r="AD28" s="182">
        <v>3.085175</v>
      </c>
      <c r="AE28" s="182">
        <v>3.0820259999999999</v>
      </c>
      <c r="AF28" s="182">
        <v>3.0718770000000002</v>
      </c>
      <c r="AG28" s="181">
        <v>9.0399999999999996E-4</v>
      </c>
    </row>
    <row r="29" spans="1:33" ht="15" customHeight="1">
      <c r="A29" s="173" t="s">
        <v>854</v>
      </c>
      <c r="B29" s="179" t="s">
        <v>855</v>
      </c>
      <c r="C29" s="182">
        <v>0.97293499999999999</v>
      </c>
      <c r="D29" s="182">
        <v>1.1294219999999999</v>
      </c>
      <c r="E29" s="182">
        <v>1.147985</v>
      </c>
      <c r="F29" s="182">
        <v>1.348249</v>
      </c>
      <c r="G29" s="182">
        <v>1.4287669999999999</v>
      </c>
      <c r="H29" s="182">
        <v>1.5156529999999999</v>
      </c>
      <c r="I29" s="182">
        <v>1.6310750000000001</v>
      </c>
      <c r="J29" s="182">
        <v>1.6618649999999999</v>
      </c>
      <c r="K29" s="182">
        <v>1.6764840000000001</v>
      </c>
      <c r="L29" s="182">
        <v>1.6996849999999999</v>
      </c>
      <c r="M29" s="182">
        <v>1.72675</v>
      </c>
      <c r="N29" s="182">
        <v>1.7478229999999999</v>
      </c>
      <c r="O29" s="182">
        <v>1.7658119999999999</v>
      </c>
      <c r="P29" s="182">
        <v>1.767423</v>
      </c>
      <c r="Q29" s="182">
        <v>1.770181</v>
      </c>
      <c r="R29" s="182">
        <v>1.762726</v>
      </c>
      <c r="S29" s="182">
        <v>1.7594350000000001</v>
      </c>
      <c r="T29" s="182">
        <v>1.7894289999999999</v>
      </c>
      <c r="U29" s="182">
        <v>1.763593</v>
      </c>
      <c r="V29" s="182">
        <v>1.842214</v>
      </c>
      <c r="W29" s="182">
        <v>1.868017</v>
      </c>
      <c r="X29" s="182">
        <v>1.8891279999999999</v>
      </c>
      <c r="Y29" s="182">
        <v>1.944866</v>
      </c>
      <c r="Z29" s="182">
        <v>1.9860120000000001</v>
      </c>
      <c r="AA29" s="182">
        <v>1.9998180000000001</v>
      </c>
      <c r="AB29" s="182">
        <v>2.0218720000000001</v>
      </c>
      <c r="AC29" s="182">
        <v>2.0392459999999999</v>
      </c>
      <c r="AD29" s="182">
        <v>2.0253060000000001</v>
      </c>
      <c r="AE29" s="182">
        <v>2.0337969999999999</v>
      </c>
      <c r="AF29" s="182">
        <v>2.0211700000000001</v>
      </c>
      <c r="AG29" s="181">
        <v>2.5531000000000002E-2</v>
      </c>
    </row>
    <row r="30" spans="1:33" ht="15" customHeight="1">
      <c r="A30" s="173" t="s">
        <v>856</v>
      </c>
      <c r="B30" s="179" t="s">
        <v>857</v>
      </c>
      <c r="C30" s="180">
        <v>40.863289000000002</v>
      </c>
      <c r="D30" s="180">
        <v>47.435715000000002</v>
      </c>
      <c r="E30" s="180">
        <v>48.215378000000001</v>
      </c>
      <c r="F30" s="180">
        <v>56.626441999999997</v>
      </c>
      <c r="G30" s="180">
        <v>60.008217000000002</v>
      </c>
      <c r="H30" s="180">
        <v>63.657429</v>
      </c>
      <c r="I30" s="180">
        <v>68.505134999999996</v>
      </c>
      <c r="J30" s="180">
        <v>69.798316999999997</v>
      </c>
      <c r="K30" s="180">
        <v>70.412315000000007</v>
      </c>
      <c r="L30" s="180">
        <v>71.386764999999997</v>
      </c>
      <c r="M30" s="180">
        <v>72.523491000000007</v>
      </c>
      <c r="N30" s="180">
        <v>73.408585000000002</v>
      </c>
      <c r="O30" s="180">
        <v>74.164092999999994</v>
      </c>
      <c r="P30" s="180">
        <v>74.231773000000004</v>
      </c>
      <c r="Q30" s="180">
        <v>74.347617999999997</v>
      </c>
      <c r="R30" s="180">
        <v>74.034499999999994</v>
      </c>
      <c r="S30" s="180">
        <v>73.896286000000003</v>
      </c>
      <c r="T30" s="180">
        <v>75.156006000000005</v>
      </c>
      <c r="U30" s="180">
        <v>74.070899999999995</v>
      </c>
      <c r="V30" s="180">
        <v>77.372985999999997</v>
      </c>
      <c r="W30" s="180">
        <v>78.456695999999994</v>
      </c>
      <c r="X30" s="180">
        <v>79.343384</v>
      </c>
      <c r="Y30" s="180">
        <v>81.684387000000001</v>
      </c>
      <c r="Z30" s="180">
        <v>83.412520999999998</v>
      </c>
      <c r="AA30" s="180">
        <v>83.992362999999997</v>
      </c>
      <c r="AB30" s="180">
        <v>84.918610000000001</v>
      </c>
      <c r="AC30" s="180">
        <v>85.648330999999999</v>
      </c>
      <c r="AD30" s="180">
        <v>85.062843000000001</v>
      </c>
      <c r="AE30" s="180">
        <v>85.419464000000005</v>
      </c>
      <c r="AF30" s="180">
        <v>84.889144999999999</v>
      </c>
      <c r="AG30" s="181">
        <v>2.5531000000000002E-2</v>
      </c>
    </row>
    <row r="32" spans="1:33">
      <c r="B32" s="178" t="s">
        <v>858</v>
      </c>
    </row>
    <row r="33" spans="1:33">
      <c r="A33" s="173" t="s">
        <v>859</v>
      </c>
      <c r="B33" s="179" t="s">
        <v>849</v>
      </c>
      <c r="C33" s="182">
        <v>1.247592</v>
      </c>
      <c r="D33" s="182">
        <v>1.323669</v>
      </c>
      <c r="E33" s="182">
        <v>1.160595</v>
      </c>
      <c r="F33" s="182">
        <v>1.1590480000000001</v>
      </c>
      <c r="G33" s="182">
        <v>1.1481490000000001</v>
      </c>
      <c r="H33" s="182">
        <v>1.1618569999999999</v>
      </c>
      <c r="I33" s="182">
        <v>1.1992400000000001</v>
      </c>
      <c r="J33" s="182">
        <v>1.251198</v>
      </c>
      <c r="K33" s="182">
        <v>1.2855650000000001</v>
      </c>
      <c r="L33" s="182">
        <v>1.321898</v>
      </c>
      <c r="M33" s="182">
        <v>1.3544419999999999</v>
      </c>
      <c r="N33" s="182">
        <v>1.3812040000000001</v>
      </c>
      <c r="O33" s="182">
        <v>1.4071039999999999</v>
      </c>
      <c r="P33" s="182">
        <v>1.422728</v>
      </c>
      <c r="Q33" s="182">
        <v>1.433298</v>
      </c>
      <c r="R33" s="182">
        <v>1.4479120000000001</v>
      </c>
      <c r="S33" s="182">
        <v>1.4667699999999999</v>
      </c>
      <c r="T33" s="182">
        <v>1.484092</v>
      </c>
      <c r="U33" s="182">
        <v>1.492623</v>
      </c>
      <c r="V33" s="182">
        <v>1.5208809999999999</v>
      </c>
      <c r="W33" s="182">
        <v>1.5377209999999999</v>
      </c>
      <c r="X33" s="182">
        <v>1.5392490000000001</v>
      </c>
      <c r="Y33" s="182">
        <v>1.5569660000000001</v>
      </c>
      <c r="Z33" s="182">
        <v>1.578365</v>
      </c>
      <c r="AA33" s="182">
        <v>1.581539</v>
      </c>
      <c r="AB33" s="182">
        <v>1.5921129999999999</v>
      </c>
      <c r="AC33" s="182">
        <v>1.5991949999999999</v>
      </c>
      <c r="AD33" s="182">
        <v>1.602784</v>
      </c>
      <c r="AE33" s="182">
        <v>1.600606</v>
      </c>
      <c r="AF33" s="182">
        <v>1.598128</v>
      </c>
      <c r="AG33" s="181">
        <v>8.5749999999999993E-3</v>
      </c>
    </row>
    <row r="34" spans="1:33">
      <c r="A34" s="173" t="s">
        <v>860</v>
      </c>
      <c r="B34" s="179" t="s">
        <v>851</v>
      </c>
      <c r="C34" s="182">
        <v>2.9826980000000001</v>
      </c>
      <c r="D34" s="182">
        <v>3.0254799999999999</v>
      </c>
      <c r="E34" s="182">
        <v>2.8335699999999999</v>
      </c>
      <c r="F34" s="182">
        <v>2.8780359999999998</v>
      </c>
      <c r="G34" s="182">
        <v>2.8022230000000001</v>
      </c>
      <c r="H34" s="182">
        <v>2.729158</v>
      </c>
      <c r="I34" s="182">
        <v>2.669314</v>
      </c>
      <c r="J34" s="182">
        <v>2.696113</v>
      </c>
      <c r="K34" s="182">
        <v>2.7132540000000001</v>
      </c>
      <c r="L34" s="182">
        <v>2.709587</v>
      </c>
      <c r="M34" s="182">
        <v>2.7487110000000001</v>
      </c>
      <c r="N34" s="182">
        <v>2.76369</v>
      </c>
      <c r="O34" s="182">
        <v>2.7752279999999998</v>
      </c>
      <c r="P34" s="182">
        <v>2.782178</v>
      </c>
      <c r="Q34" s="182">
        <v>2.7962210000000001</v>
      </c>
      <c r="R34" s="182">
        <v>2.8211879999999998</v>
      </c>
      <c r="S34" s="182">
        <v>2.8520729999999999</v>
      </c>
      <c r="T34" s="182">
        <v>2.8706469999999999</v>
      </c>
      <c r="U34" s="182">
        <v>2.8810069999999999</v>
      </c>
      <c r="V34" s="182">
        <v>2.908944</v>
      </c>
      <c r="W34" s="182">
        <v>2.9243579999999998</v>
      </c>
      <c r="X34" s="182">
        <v>2.927235</v>
      </c>
      <c r="Y34" s="182">
        <v>2.963165</v>
      </c>
      <c r="Z34" s="182">
        <v>3.0025810000000002</v>
      </c>
      <c r="AA34" s="182">
        <v>3.017852</v>
      </c>
      <c r="AB34" s="182">
        <v>3.0434730000000001</v>
      </c>
      <c r="AC34" s="182">
        <v>3.0510950000000001</v>
      </c>
      <c r="AD34" s="182">
        <v>3.0446569999999999</v>
      </c>
      <c r="AE34" s="182">
        <v>3.0415640000000002</v>
      </c>
      <c r="AF34" s="182">
        <v>3.0314749999999999</v>
      </c>
      <c r="AG34" s="181">
        <v>5.5900000000000004E-4</v>
      </c>
    </row>
    <row r="35" spans="1:33">
      <c r="A35" s="173" t="s">
        <v>861</v>
      </c>
      <c r="B35" s="179" t="s">
        <v>855</v>
      </c>
      <c r="C35" s="182">
        <v>1.0599479999999999</v>
      </c>
      <c r="D35" s="182">
        <v>1.239522</v>
      </c>
      <c r="E35" s="182">
        <v>1.2914410000000001</v>
      </c>
      <c r="F35" s="182">
        <v>1.5224200000000001</v>
      </c>
      <c r="G35" s="182">
        <v>1.6322650000000001</v>
      </c>
      <c r="H35" s="182">
        <v>1.755055</v>
      </c>
      <c r="I35" s="182">
        <v>1.902169</v>
      </c>
      <c r="J35" s="182">
        <v>1.9361470000000001</v>
      </c>
      <c r="K35" s="182">
        <v>1.9540709999999999</v>
      </c>
      <c r="L35" s="182">
        <v>1.9795480000000001</v>
      </c>
      <c r="M35" s="182">
        <v>2.009709</v>
      </c>
      <c r="N35" s="182">
        <v>2.0328560000000002</v>
      </c>
      <c r="O35" s="182">
        <v>2.0530059999999999</v>
      </c>
      <c r="P35" s="182">
        <v>2.056616</v>
      </c>
      <c r="Q35" s="182">
        <v>2.061985</v>
      </c>
      <c r="R35" s="182">
        <v>2.0558299999999998</v>
      </c>
      <c r="S35" s="182">
        <v>2.0508739999999999</v>
      </c>
      <c r="T35" s="182">
        <v>2.0863969999999998</v>
      </c>
      <c r="U35" s="182">
        <v>2.0671780000000002</v>
      </c>
      <c r="V35" s="182">
        <v>2.1440790000000001</v>
      </c>
      <c r="W35" s="182">
        <v>2.1709269999999998</v>
      </c>
      <c r="X35" s="182">
        <v>2.192453</v>
      </c>
      <c r="Y35" s="182">
        <v>2.2478410000000002</v>
      </c>
      <c r="Z35" s="182">
        <v>2.2855819999999998</v>
      </c>
      <c r="AA35" s="182">
        <v>2.2985679999999999</v>
      </c>
      <c r="AB35" s="182">
        <v>2.3242910000000001</v>
      </c>
      <c r="AC35" s="182">
        <v>2.3358020000000002</v>
      </c>
      <c r="AD35" s="182">
        <v>2.3309950000000002</v>
      </c>
      <c r="AE35" s="182">
        <v>2.335388</v>
      </c>
      <c r="AF35" s="182">
        <v>2.3282050000000001</v>
      </c>
      <c r="AG35" s="181">
        <v>2.7505000000000002E-2</v>
      </c>
    </row>
    <row r="36" spans="1:33">
      <c r="A36" s="173" t="s">
        <v>862</v>
      </c>
      <c r="B36" s="179" t="s">
        <v>857</v>
      </c>
      <c r="C36" s="180">
        <v>44.517811000000002</v>
      </c>
      <c r="D36" s="180">
        <v>52.059939999999997</v>
      </c>
      <c r="E36" s="180">
        <v>54.240532000000002</v>
      </c>
      <c r="F36" s="180">
        <v>63.941623999999997</v>
      </c>
      <c r="G36" s="180">
        <v>68.555115000000001</v>
      </c>
      <c r="H36" s="180">
        <v>73.712326000000004</v>
      </c>
      <c r="I36" s="180">
        <v>79.891075000000001</v>
      </c>
      <c r="J36" s="180">
        <v>81.318191999999996</v>
      </c>
      <c r="K36" s="180">
        <v>82.070969000000005</v>
      </c>
      <c r="L36" s="180">
        <v>83.141013999999998</v>
      </c>
      <c r="M36" s="180">
        <v>84.407760999999994</v>
      </c>
      <c r="N36" s="180">
        <v>85.379929000000004</v>
      </c>
      <c r="O36" s="180">
        <v>86.226241999999999</v>
      </c>
      <c r="P36" s="180">
        <v>86.377860999999996</v>
      </c>
      <c r="Q36" s="180">
        <v>86.603354999999993</v>
      </c>
      <c r="R36" s="180">
        <v>86.344841000000002</v>
      </c>
      <c r="S36" s="180">
        <v>86.136688000000007</v>
      </c>
      <c r="T36" s="180">
        <v>87.62867</v>
      </c>
      <c r="U36" s="180">
        <v>86.821479999999994</v>
      </c>
      <c r="V36" s="180">
        <v>90.051338000000001</v>
      </c>
      <c r="W36" s="180">
        <v>91.178925000000007</v>
      </c>
      <c r="X36" s="180">
        <v>92.083008000000007</v>
      </c>
      <c r="Y36" s="180">
        <v>94.409332000000006</v>
      </c>
      <c r="Z36" s="180">
        <v>95.994461000000001</v>
      </c>
      <c r="AA36" s="180">
        <v>96.539856</v>
      </c>
      <c r="AB36" s="180">
        <v>97.620200999999994</v>
      </c>
      <c r="AC36" s="180">
        <v>98.103667999999999</v>
      </c>
      <c r="AD36" s="180">
        <v>97.901786999999999</v>
      </c>
      <c r="AE36" s="180">
        <v>98.086287999999996</v>
      </c>
      <c r="AF36" s="180">
        <v>97.784592000000004</v>
      </c>
      <c r="AG36" s="181">
        <v>2.7505000000000002E-2</v>
      </c>
    </row>
    <row r="38" spans="1:33">
      <c r="B38" s="178" t="s">
        <v>863</v>
      </c>
    </row>
    <row r="39" spans="1:33">
      <c r="A39" s="173" t="s">
        <v>864</v>
      </c>
      <c r="B39" s="179" t="s">
        <v>849</v>
      </c>
      <c r="C39" s="182">
        <v>1.622646</v>
      </c>
      <c r="D39" s="182">
        <v>1.678445</v>
      </c>
      <c r="E39" s="182">
        <v>1.5404549999999999</v>
      </c>
      <c r="F39" s="182">
        <v>1.5406770000000001</v>
      </c>
      <c r="G39" s="182">
        <v>1.5315650000000001</v>
      </c>
      <c r="H39" s="182">
        <v>1.543452</v>
      </c>
      <c r="I39" s="182">
        <v>1.575061</v>
      </c>
      <c r="J39" s="182">
        <v>1.6181289999999999</v>
      </c>
      <c r="K39" s="182">
        <v>1.6458410000000001</v>
      </c>
      <c r="L39" s="182">
        <v>1.675092</v>
      </c>
      <c r="M39" s="182">
        <v>1.7319119999999999</v>
      </c>
      <c r="N39" s="182">
        <v>1.7528820000000001</v>
      </c>
      <c r="O39" s="182">
        <v>1.7774460000000001</v>
      </c>
      <c r="P39" s="182">
        <v>1.7893589999999999</v>
      </c>
      <c r="Q39" s="182">
        <v>1.7973399999999999</v>
      </c>
      <c r="R39" s="182">
        <v>1.808567</v>
      </c>
      <c r="S39" s="182">
        <v>1.8230390000000001</v>
      </c>
      <c r="T39" s="182">
        <v>1.836198</v>
      </c>
      <c r="U39" s="182">
        <v>1.842457</v>
      </c>
      <c r="V39" s="182">
        <v>1.8641270000000001</v>
      </c>
      <c r="W39" s="182">
        <v>1.8766259999999999</v>
      </c>
      <c r="X39" s="182">
        <v>1.8773770000000001</v>
      </c>
      <c r="Y39" s="182">
        <v>1.890781</v>
      </c>
      <c r="Z39" s="182">
        <v>1.906803</v>
      </c>
      <c r="AA39" s="182">
        <v>1.9087879999999999</v>
      </c>
      <c r="AB39" s="182">
        <v>1.9166099999999999</v>
      </c>
      <c r="AC39" s="182">
        <v>1.921713</v>
      </c>
      <c r="AD39" s="182">
        <v>1.9241919999999999</v>
      </c>
      <c r="AE39" s="182">
        <v>1.922315</v>
      </c>
      <c r="AF39" s="182">
        <v>1.9202630000000001</v>
      </c>
      <c r="AG39" s="181">
        <v>5.8240000000000002E-3</v>
      </c>
    </row>
    <row r="40" spans="1:33">
      <c r="A40" s="173" t="s">
        <v>865</v>
      </c>
      <c r="B40" s="179" t="s">
        <v>866</v>
      </c>
      <c r="C40" s="182">
        <v>2.4437639999999998</v>
      </c>
      <c r="D40" s="182">
        <v>2.4431340000000001</v>
      </c>
      <c r="E40" s="182">
        <v>2.4571740000000002</v>
      </c>
      <c r="F40" s="182">
        <v>2.4358610000000001</v>
      </c>
      <c r="G40" s="182">
        <v>2.4068019999999999</v>
      </c>
      <c r="H40" s="182">
        <v>2.433751</v>
      </c>
      <c r="I40" s="182">
        <v>2.4650889999999999</v>
      </c>
      <c r="J40" s="182">
        <v>2.4954589999999999</v>
      </c>
      <c r="K40" s="182">
        <v>2.5174910000000001</v>
      </c>
      <c r="L40" s="182">
        <v>2.5831219999999999</v>
      </c>
      <c r="M40" s="182">
        <v>2.6531820000000002</v>
      </c>
      <c r="N40" s="182">
        <v>2.6875360000000001</v>
      </c>
      <c r="O40" s="182">
        <v>2.7033860000000001</v>
      </c>
      <c r="P40" s="182">
        <v>2.748828</v>
      </c>
      <c r="Q40" s="182">
        <v>2.7651780000000001</v>
      </c>
      <c r="R40" s="182">
        <v>2.7691300000000001</v>
      </c>
      <c r="S40" s="182">
        <v>2.781908</v>
      </c>
      <c r="T40" s="182">
        <v>2.8176990000000002</v>
      </c>
      <c r="U40" s="182">
        <v>2.816694</v>
      </c>
      <c r="V40" s="182">
        <v>2.8388550000000001</v>
      </c>
      <c r="W40" s="182">
        <v>2.8592040000000001</v>
      </c>
      <c r="X40" s="182">
        <v>2.8610500000000001</v>
      </c>
      <c r="Y40" s="182">
        <v>2.8889309999999999</v>
      </c>
      <c r="Z40" s="182">
        <v>2.9170479999999999</v>
      </c>
      <c r="AA40" s="182">
        <v>2.926885</v>
      </c>
      <c r="AB40" s="182">
        <v>2.9519579999999999</v>
      </c>
      <c r="AC40" s="182">
        <v>2.9620769999999998</v>
      </c>
      <c r="AD40" s="182">
        <v>2.9547349999999999</v>
      </c>
      <c r="AE40" s="182">
        <v>2.957592</v>
      </c>
      <c r="AF40" s="182">
        <v>2.9572970000000001</v>
      </c>
      <c r="AG40" s="181">
        <v>6.5989999999999998E-3</v>
      </c>
    </row>
    <row r="41" spans="1:33">
      <c r="A41" s="173" t="s">
        <v>867</v>
      </c>
      <c r="B41" s="179" t="s">
        <v>868</v>
      </c>
      <c r="C41" s="182">
        <v>1.4504239999999999</v>
      </c>
      <c r="D41" s="182">
        <v>1.4504239999999999</v>
      </c>
      <c r="E41" s="182">
        <v>1.4916320000000001</v>
      </c>
      <c r="F41" s="182">
        <v>1.5522929999999999</v>
      </c>
      <c r="G41" s="182">
        <v>1.4544539999999999</v>
      </c>
      <c r="H41" s="182">
        <v>1.5392129999999999</v>
      </c>
      <c r="I41" s="182">
        <v>1.567393</v>
      </c>
      <c r="J41" s="182">
        <v>1.5957410000000001</v>
      </c>
      <c r="K41" s="182">
        <v>1.624268</v>
      </c>
      <c r="L41" s="182">
        <v>1.6521650000000001</v>
      </c>
      <c r="M41" s="182">
        <v>1.68336</v>
      </c>
      <c r="N41" s="182">
        <v>1.691838</v>
      </c>
      <c r="O41" s="182">
        <v>1.645732</v>
      </c>
      <c r="P41" s="182">
        <v>1.688267</v>
      </c>
      <c r="Q41" s="182">
        <v>1.694874</v>
      </c>
      <c r="R41" s="182">
        <v>1.635859</v>
      </c>
      <c r="S41" s="182">
        <v>1.6032230000000001</v>
      </c>
      <c r="T41" s="182">
        <v>1.665384</v>
      </c>
      <c r="U41" s="182">
        <v>1.637751</v>
      </c>
      <c r="V41" s="182">
        <v>1.6358440000000001</v>
      </c>
      <c r="W41" s="182">
        <v>1.65815</v>
      </c>
      <c r="X41" s="182">
        <v>1.638474</v>
      </c>
      <c r="Y41" s="182">
        <v>1.6218170000000001</v>
      </c>
      <c r="Z41" s="182">
        <v>1.6014619999999999</v>
      </c>
      <c r="AA41" s="182">
        <v>1.6175870000000001</v>
      </c>
      <c r="AB41" s="182">
        <v>1.601356</v>
      </c>
      <c r="AC41" s="182">
        <v>1.6500570000000001</v>
      </c>
      <c r="AD41" s="182">
        <v>1.5815950000000001</v>
      </c>
      <c r="AE41" s="182">
        <v>1.5997939999999999</v>
      </c>
      <c r="AF41" s="182">
        <v>1.6184609999999999</v>
      </c>
      <c r="AG41" s="181">
        <v>3.787E-3</v>
      </c>
    </row>
    <row r="42" spans="1:33" s="187" customFormat="1">
      <c r="A42" s="183" t="s">
        <v>869</v>
      </c>
      <c r="B42" s="184" t="s">
        <v>870</v>
      </c>
      <c r="C42" s="185">
        <v>3.1092520000000001</v>
      </c>
      <c r="D42" s="185">
        <v>2.9813019999999999</v>
      </c>
      <c r="E42" s="185">
        <v>2.6675990000000001</v>
      </c>
      <c r="F42" s="185">
        <v>2.6499229999999998</v>
      </c>
      <c r="G42" s="185">
        <v>2.6225969999999998</v>
      </c>
      <c r="H42" s="185">
        <v>2.6497000000000002</v>
      </c>
      <c r="I42" s="185">
        <v>2.6807840000000001</v>
      </c>
      <c r="J42" s="185">
        <v>2.7091720000000001</v>
      </c>
      <c r="K42" s="185">
        <v>2.7289089999999998</v>
      </c>
      <c r="L42" s="185">
        <v>2.7957380000000001</v>
      </c>
      <c r="M42" s="185">
        <v>2.884652</v>
      </c>
      <c r="N42" s="185">
        <v>2.9133019999999998</v>
      </c>
      <c r="O42" s="185">
        <v>2.9367969999999999</v>
      </c>
      <c r="P42" s="185">
        <v>2.9589189999999999</v>
      </c>
      <c r="Q42" s="185">
        <v>2.9694120000000002</v>
      </c>
      <c r="R42" s="185">
        <v>2.9900139999999999</v>
      </c>
      <c r="S42" s="185">
        <v>3.0082429999999998</v>
      </c>
      <c r="T42" s="185">
        <v>3.040721</v>
      </c>
      <c r="U42" s="185">
        <v>3.041817</v>
      </c>
      <c r="V42" s="185">
        <v>3.0651860000000002</v>
      </c>
      <c r="W42" s="185">
        <v>3.084158</v>
      </c>
      <c r="X42" s="185">
        <v>3.0886239999999998</v>
      </c>
      <c r="Y42" s="185">
        <v>3.118824</v>
      </c>
      <c r="Z42" s="185">
        <v>3.1478609999999998</v>
      </c>
      <c r="AA42" s="185">
        <v>3.1574930000000001</v>
      </c>
      <c r="AB42" s="185">
        <v>3.1823169999999998</v>
      </c>
      <c r="AC42" s="185">
        <v>3.1916579999999999</v>
      </c>
      <c r="AD42" s="185">
        <v>3.1826210000000001</v>
      </c>
      <c r="AE42" s="185">
        <v>3.184043</v>
      </c>
      <c r="AF42" s="185">
        <v>3.1829610000000002</v>
      </c>
      <c r="AG42" s="186">
        <v>8.0800000000000002E-4</v>
      </c>
    </row>
    <row r="43" spans="1:33">
      <c r="A43" s="173" t="s">
        <v>871</v>
      </c>
      <c r="B43" s="179" t="s">
        <v>872</v>
      </c>
      <c r="C43" s="182">
        <v>1.9841310000000001</v>
      </c>
      <c r="D43" s="182">
        <v>2.074087</v>
      </c>
      <c r="E43" s="182">
        <v>1.9361250000000001</v>
      </c>
      <c r="F43" s="182">
        <v>2.0944099999999999</v>
      </c>
      <c r="G43" s="182">
        <v>2.102668</v>
      </c>
      <c r="H43" s="182">
        <v>2.122528</v>
      </c>
      <c r="I43" s="182">
        <v>2.1605829999999999</v>
      </c>
      <c r="J43" s="182">
        <v>2.1980770000000001</v>
      </c>
      <c r="K43" s="182">
        <v>2.2209110000000001</v>
      </c>
      <c r="L43" s="182">
        <v>2.2132079999999998</v>
      </c>
      <c r="M43" s="182">
        <v>2.278734</v>
      </c>
      <c r="N43" s="182">
        <v>2.3035899999999998</v>
      </c>
      <c r="O43" s="182">
        <v>2.3185989999999999</v>
      </c>
      <c r="P43" s="182">
        <v>2.3414109999999999</v>
      </c>
      <c r="Q43" s="182">
        <v>2.3565649999999998</v>
      </c>
      <c r="R43" s="182">
        <v>2.3831630000000001</v>
      </c>
      <c r="S43" s="182">
        <v>2.4178419999999998</v>
      </c>
      <c r="T43" s="182">
        <v>2.4420540000000002</v>
      </c>
      <c r="U43" s="182">
        <v>2.4560870000000001</v>
      </c>
      <c r="V43" s="182">
        <v>2.4813749999999999</v>
      </c>
      <c r="W43" s="182">
        <v>2.500569</v>
      </c>
      <c r="X43" s="182">
        <v>2.5060980000000002</v>
      </c>
      <c r="Y43" s="182">
        <v>2.5454699999999999</v>
      </c>
      <c r="Z43" s="182">
        <v>2.5874899999999998</v>
      </c>
      <c r="AA43" s="182">
        <v>2.6021800000000002</v>
      </c>
      <c r="AB43" s="182">
        <v>2.630452</v>
      </c>
      <c r="AC43" s="182">
        <v>2.6427960000000001</v>
      </c>
      <c r="AD43" s="182">
        <v>2.639014</v>
      </c>
      <c r="AE43" s="182">
        <v>2.644622</v>
      </c>
      <c r="AF43" s="182">
        <v>2.6367720000000001</v>
      </c>
      <c r="AG43" s="181">
        <v>9.8539999999999999E-3</v>
      </c>
    </row>
    <row r="44" spans="1:33" s="187" customFormat="1">
      <c r="A44" s="183" t="s">
        <v>873</v>
      </c>
      <c r="B44" s="184" t="s">
        <v>874</v>
      </c>
      <c r="C44" s="185">
        <v>3.2566489999999999</v>
      </c>
      <c r="D44" s="185">
        <v>3.1308029999999998</v>
      </c>
      <c r="E44" s="185">
        <v>3.0200170000000002</v>
      </c>
      <c r="F44" s="185">
        <v>3.12771</v>
      </c>
      <c r="G44" s="185">
        <v>3.1251099999999998</v>
      </c>
      <c r="H44" s="185">
        <v>3.1213280000000001</v>
      </c>
      <c r="I44" s="185">
        <v>3.1301559999999999</v>
      </c>
      <c r="J44" s="185">
        <v>3.1547420000000002</v>
      </c>
      <c r="K44" s="185">
        <v>3.173117</v>
      </c>
      <c r="L44" s="185">
        <v>3.1683599999999998</v>
      </c>
      <c r="M44" s="185">
        <v>3.2525050000000002</v>
      </c>
      <c r="N44" s="185">
        <v>3.265755</v>
      </c>
      <c r="O44" s="185">
        <v>3.2837559999999999</v>
      </c>
      <c r="P44" s="185">
        <v>3.2891729999999999</v>
      </c>
      <c r="Q44" s="185">
        <v>3.3027030000000002</v>
      </c>
      <c r="R44" s="185">
        <v>3.3277329999999998</v>
      </c>
      <c r="S44" s="185">
        <v>3.3552279999999999</v>
      </c>
      <c r="T44" s="185">
        <v>3.3733409999999999</v>
      </c>
      <c r="U44" s="185">
        <v>3.385497</v>
      </c>
      <c r="V44" s="185">
        <v>3.4135330000000002</v>
      </c>
      <c r="W44" s="185">
        <v>3.4289960000000002</v>
      </c>
      <c r="X44" s="185">
        <v>3.4306299999999998</v>
      </c>
      <c r="Y44" s="185">
        <v>3.4663840000000001</v>
      </c>
      <c r="Z44" s="185">
        <v>3.5058639999999999</v>
      </c>
      <c r="AA44" s="185">
        <v>3.5199579999999999</v>
      </c>
      <c r="AB44" s="185">
        <v>3.544848</v>
      </c>
      <c r="AC44" s="185">
        <v>3.5529850000000001</v>
      </c>
      <c r="AD44" s="185">
        <v>3.5459320000000001</v>
      </c>
      <c r="AE44" s="185">
        <v>3.5427369999999998</v>
      </c>
      <c r="AF44" s="185">
        <v>3.534176</v>
      </c>
      <c r="AG44" s="186">
        <v>2.8240000000000001E-3</v>
      </c>
    </row>
    <row r="45" spans="1:33">
      <c r="A45" s="173" t="s">
        <v>875</v>
      </c>
      <c r="B45" s="179" t="s">
        <v>855</v>
      </c>
      <c r="C45" s="182">
        <v>1.8469249999999999</v>
      </c>
      <c r="D45" s="182">
        <v>1.561507</v>
      </c>
      <c r="E45" s="182">
        <v>1.9243479999999999</v>
      </c>
      <c r="F45" s="182">
        <v>2.0588869999999999</v>
      </c>
      <c r="G45" s="182">
        <v>2.0843180000000001</v>
      </c>
      <c r="H45" s="182">
        <v>2.110185</v>
      </c>
      <c r="I45" s="182">
        <v>2.1622889999999999</v>
      </c>
      <c r="J45" s="182">
        <v>2.1891370000000001</v>
      </c>
      <c r="K45" s="182">
        <v>2.2043910000000002</v>
      </c>
      <c r="L45" s="182">
        <v>2.222423</v>
      </c>
      <c r="M45" s="182">
        <v>2.2564700000000002</v>
      </c>
      <c r="N45" s="182">
        <v>2.2726280000000001</v>
      </c>
      <c r="O45" s="182">
        <v>2.2921399999999998</v>
      </c>
      <c r="P45" s="182">
        <v>2.2942450000000001</v>
      </c>
      <c r="Q45" s="182">
        <v>2.2993410000000001</v>
      </c>
      <c r="R45" s="182">
        <v>2.297142</v>
      </c>
      <c r="S45" s="182">
        <v>2.302235</v>
      </c>
      <c r="T45" s="182">
        <v>2.3304860000000001</v>
      </c>
      <c r="U45" s="182">
        <v>2.3227679999999999</v>
      </c>
      <c r="V45" s="182">
        <v>2.3716740000000001</v>
      </c>
      <c r="W45" s="182">
        <v>2.3912800000000001</v>
      </c>
      <c r="X45" s="182">
        <v>2.4040050000000002</v>
      </c>
      <c r="Y45" s="182">
        <v>2.449811</v>
      </c>
      <c r="Z45" s="182">
        <v>2.4822609999999998</v>
      </c>
      <c r="AA45" s="182">
        <v>2.496505</v>
      </c>
      <c r="AB45" s="182">
        <v>2.5188419999999998</v>
      </c>
      <c r="AC45" s="182">
        <v>2.5269870000000001</v>
      </c>
      <c r="AD45" s="182">
        <v>2.5226829999999998</v>
      </c>
      <c r="AE45" s="182">
        <v>2.5276969999999999</v>
      </c>
      <c r="AF45" s="182">
        <v>2.5219659999999999</v>
      </c>
      <c r="AG45" s="181">
        <v>1.0800000000000001E-2</v>
      </c>
    </row>
    <row r="46" spans="1:33">
      <c r="A46" s="173" t="s">
        <v>876</v>
      </c>
      <c r="B46" s="179" t="s">
        <v>857</v>
      </c>
      <c r="C46" s="180">
        <v>77.570853999999997</v>
      </c>
      <c r="D46" s="180">
        <v>65.583275</v>
      </c>
      <c r="E46" s="180">
        <v>80.822601000000006</v>
      </c>
      <c r="F46" s="180">
        <v>86.473236</v>
      </c>
      <c r="G46" s="180">
        <v>87.541351000000006</v>
      </c>
      <c r="H46" s="180">
        <v>88.627762000000004</v>
      </c>
      <c r="I46" s="180">
        <v>90.816139000000007</v>
      </c>
      <c r="J46" s="180">
        <v>91.943770999999998</v>
      </c>
      <c r="K46" s="180">
        <v>92.584412</v>
      </c>
      <c r="L46" s="180">
        <v>93.341781999999995</v>
      </c>
      <c r="M46" s="180">
        <v>94.771728999999993</v>
      </c>
      <c r="N46" s="180">
        <v>95.450355999999999</v>
      </c>
      <c r="O46" s="180">
        <v>96.269904999999994</v>
      </c>
      <c r="P46" s="180">
        <v>96.358269000000007</v>
      </c>
      <c r="Q46" s="180">
        <v>96.572333999999998</v>
      </c>
      <c r="R46" s="180">
        <v>96.479957999999996</v>
      </c>
      <c r="S46" s="180">
        <v>96.693862999999993</v>
      </c>
      <c r="T46" s="180">
        <v>97.880409</v>
      </c>
      <c r="U46" s="180">
        <v>97.556244000000007</v>
      </c>
      <c r="V46" s="180">
        <v>99.610320999999999</v>
      </c>
      <c r="W46" s="180">
        <v>100.43375399999999</v>
      </c>
      <c r="X46" s="180">
        <v>100.96820099999999</v>
      </c>
      <c r="Y46" s="180">
        <v>102.892036</v>
      </c>
      <c r="Z46" s="180">
        <v>104.254959</v>
      </c>
      <c r="AA46" s="180">
        <v>104.853195</v>
      </c>
      <c r="AB46" s="180">
        <v>105.791359</v>
      </c>
      <c r="AC46" s="180">
        <v>106.13346900000001</v>
      </c>
      <c r="AD46" s="180">
        <v>105.95270499999999</v>
      </c>
      <c r="AE46" s="180">
        <v>106.16325399999999</v>
      </c>
      <c r="AF46" s="180">
        <v>105.922569</v>
      </c>
      <c r="AG46" s="181">
        <v>1.0800000000000001E-2</v>
      </c>
    </row>
    <row r="48" spans="1:33">
      <c r="B48" s="178" t="s">
        <v>877</v>
      </c>
    </row>
    <row r="49" spans="1:33">
      <c r="A49" s="173" t="s">
        <v>878</v>
      </c>
      <c r="B49" s="179" t="s">
        <v>851</v>
      </c>
      <c r="C49" s="182">
        <v>2.9822760000000001</v>
      </c>
      <c r="D49" s="182">
        <v>3.024108</v>
      </c>
      <c r="E49" s="182">
        <v>2.7995559999999999</v>
      </c>
      <c r="F49" s="182">
        <v>2.8649710000000002</v>
      </c>
      <c r="G49" s="182">
        <v>2.7745129999999998</v>
      </c>
      <c r="H49" s="182">
        <v>2.686159</v>
      </c>
      <c r="I49" s="182">
        <v>2.6222699999999999</v>
      </c>
      <c r="J49" s="182">
        <v>2.6510030000000002</v>
      </c>
      <c r="K49" s="182">
        <v>2.6704059999999998</v>
      </c>
      <c r="L49" s="182">
        <v>2.6720839999999999</v>
      </c>
      <c r="M49" s="182">
        <v>2.6978710000000001</v>
      </c>
      <c r="N49" s="182">
        <v>2.71591</v>
      </c>
      <c r="O49" s="182">
        <v>2.7213750000000001</v>
      </c>
      <c r="P49" s="182">
        <v>2.7382520000000001</v>
      </c>
      <c r="Q49" s="182">
        <v>2.7516500000000002</v>
      </c>
      <c r="R49" s="182">
        <v>2.7772039999999998</v>
      </c>
      <c r="S49" s="182">
        <v>2.8056329999999998</v>
      </c>
      <c r="T49" s="182">
        <v>2.819134</v>
      </c>
      <c r="U49" s="182">
        <v>2.8284639999999999</v>
      </c>
      <c r="V49" s="182">
        <v>2.8581789999999998</v>
      </c>
      <c r="W49" s="182">
        <v>2.8703080000000001</v>
      </c>
      <c r="X49" s="182">
        <v>2.8752200000000001</v>
      </c>
      <c r="Y49" s="182">
        <v>2.9070870000000002</v>
      </c>
      <c r="Z49" s="182">
        <v>2.9443060000000001</v>
      </c>
      <c r="AA49" s="182">
        <v>2.9583949999999999</v>
      </c>
      <c r="AB49" s="182">
        <v>2.9914160000000001</v>
      </c>
      <c r="AC49" s="182">
        <v>3.0005829999999998</v>
      </c>
      <c r="AD49" s="182">
        <v>2.9932629999999998</v>
      </c>
      <c r="AE49" s="182">
        <v>2.9921250000000001</v>
      </c>
      <c r="AF49" s="182">
        <v>2.9843950000000001</v>
      </c>
      <c r="AG49" s="181">
        <v>2.4000000000000001E-5</v>
      </c>
    </row>
    <row r="50" spans="1:33" ht="15" customHeight="1">
      <c r="A50" s="173" t="s">
        <v>879</v>
      </c>
      <c r="B50" s="179" t="s">
        <v>855</v>
      </c>
      <c r="C50" s="182">
        <v>1.943667</v>
      </c>
      <c r="D50" s="182">
        <v>1.9965390000000001</v>
      </c>
      <c r="E50" s="182">
        <v>1.9177580000000001</v>
      </c>
      <c r="F50" s="182">
        <v>2.0550220000000001</v>
      </c>
      <c r="G50" s="182">
        <v>2.0847419999999999</v>
      </c>
      <c r="H50" s="182">
        <v>2.1112329999999999</v>
      </c>
      <c r="I50" s="182">
        <v>2.1743640000000002</v>
      </c>
      <c r="J50" s="182">
        <v>2.1989550000000002</v>
      </c>
      <c r="K50" s="182">
        <v>2.2135500000000001</v>
      </c>
      <c r="L50" s="182">
        <v>2.227239</v>
      </c>
      <c r="M50" s="182">
        <v>2.2692990000000002</v>
      </c>
      <c r="N50" s="182">
        <v>2.2832309999999998</v>
      </c>
      <c r="O50" s="182">
        <v>2.3035169999999998</v>
      </c>
      <c r="P50" s="182">
        <v>2.3074789999999998</v>
      </c>
      <c r="Q50" s="182">
        <v>2.3133840000000001</v>
      </c>
      <c r="R50" s="182">
        <v>2.3106810000000002</v>
      </c>
      <c r="S50" s="182">
        <v>2.3176779999999999</v>
      </c>
      <c r="T50" s="182">
        <v>2.3431150000000001</v>
      </c>
      <c r="U50" s="182">
        <v>2.3406020000000001</v>
      </c>
      <c r="V50" s="182">
        <v>2.3730880000000001</v>
      </c>
      <c r="W50" s="182">
        <v>2.3787539999999998</v>
      </c>
      <c r="X50" s="182">
        <v>2.3703880000000002</v>
      </c>
      <c r="Y50" s="182">
        <v>2.3910170000000002</v>
      </c>
      <c r="Z50" s="182">
        <v>2.3927779999999998</v>
      </c>
      <c r="AA50" s="182">
        <v>2.3653930000000001</v>
      </c>
      <c r="AB50" s="182">
        <v>2.3987970000000001</v>
      </c>
      <c r="AC50" s="182">
        <v>2.4116279999999999</v>
      </c>
      <c r="AD50" s="182">
        <v>2.4173659999999999</v>
      </c>
      <c r="AE50" s="182">
        <v>2.4258410000000001</v>
      </c>
      <c r="AF50" s="182">
        <v>2.4250229999999999</v>
      </c>
      <c r="AG50" s="181">
        <v>7.659E-3</v>
      </c>
    </row>
    <row r="51" spans="1:33" ht="15" customHeight="1">
      <c r="A51" s="173" t="s">
        <v>880</v>
      </c>
      <c r="B51" s="179" t="s">
        <v>857</v>
      </c>
      <c r="C51" s="180">
        <v>81.634033000000002</v>
      </c>
      <c r="D51" s="180">
        <v>83.854659999999996</v>
      </c>
      <c r="E51" s="180">
        <v>80.545845</v>
      </c>
      <c r="F51" s="180">
        <v>86.310905000000005</v>
      </c>
      <c r="G51" s="180">
        <v>87.559173999999999</v>
      </c>
      <c r="H51" s="180">
        <v>88.671806000000004</v>
      </c>
      <c r="I51" s="180">
        <v>91.323279999999997</v>
      </c>
      <c r="J51" s="180">
        <v>92.356110000000001</v>
      </c>
      <c r="K51" s="180">
        <v>92.969116</v>
      </c>
      <c r="L51" s="180">
        <v>93.544051999999994</v>
      </c>
      <c r="M51" s="180">
        <v>95.310539000000006</v>
      </c>
      <c r="N51" s="180">
        <v>95.895720999999995</v>
      </c>
      <c r="O51" s="180">
        <v>96.747703999999999</v>
      </c>
      <c r="P51" s="180">
        <v>96.914107999999999</v>
      </c>
      <c r="Q51" s="180">
        <v>97.162109000000001</v>
      </c>
      <c r="R51" s="180">
        <v>97.048584000000005</v>
      </c>
      <c r="S51" s="180">
        <v>97.342467999999997</v>
      </c>
      <c r="T51" s="180">
        <v>98.410812000000007</v>
      </c>
      <c r="U51" s="180">
        <v>98.305297999999993</v>
      </c>
      <c r="V51" s="180">
        <v>99.669715999999994</v>
      </c>
      <c r="W51" s="180">
        <v>99.907677000000007</v>
      </c>
      <c r="X51" s="180">
        <v>99.556281999999996</v>
      </c>
      <c r="Y51" s="180">
        <v>100.422737</v>
      </c>
      <c r="Z51" s="180">
        <v>100.496681</v>
      </c>
      <c r="AA51" s="180">
        <v>99.346489000000005</v>
      </c>
      <c r="AB51" s="180">
        <v>100.74945099999999</v>
      </c>
      <c r="AC51" s="180">
        <v>101.288383</v>
      </c>
      <c r="AD51" s="180">
        <v>101.529358</v>
      </c>
      <c r="AE51" s="180">
        <v>101.885338</v>
      </c>
      <c r="AF51" s="180">
        <v>101.85097500000001</v>
      </c>
      <c r="AG51" s="181">
        <v>7.659E-3</v>
      </c>
    </row>
    <row r="52" spans="1:33" ht="15" customHeight="1"/>
    <row r="53" spans="1:33" ht="15" customHeight="1">
      <c r="B53" s="178" t="s">
        <v>881</v>
      </c>
    </row>
    <row r="54" spans="1:33" ht="15" customHeight="1">
      <c r="A54" s="173" t="s">
        <v>882</v>
      </c>
      <c r="B54" s="179" t="s">
        <v>849</v>
      </c>
      <c r="C54" s="182">
        <v>1.7823880000000001</v>
      </c>
      <c r="D54" s="182">
        <v>1.954005</v>
      </c>
      <c r="E54" s="182">
        <v>1.845888</v>
      </c>
      <c r="F54" s="182">
        <v>1.845782</v>
      </c>
      <c r="G54" s="182">
        <v>1.837067</v>
      </c>
      <c r="H54" s="182">
        <v>1.845747</v>
      </c>
      <c r="I54" s="182">
        <v>1.8757550000000001</v>
      </c>
      <c r="J54" s="182">
        <v>1.9228810000000001</v>
      </c>
      <c r="K54" s="182">
        <v>1.961082</v>
      </c>
      <c r="L54" s="182">
        <v>2.00075</v>
      </c>
      <c r="M54" s="182">
        <v>2.0529820000000001</v>
      </c>
      <c r="N54" s="182">
        <v>2.0840700000000001</v>
      </c>
      <c r="O54" s="182">
        <v>2.1158990000000002</v>
      </c>
      <c r="P54" s="182">
        <v>2.1367039999999999</v>
      </c>
      <c r="Q54" s="182">
        <v>2.1514280000000001</v>
      </c>
      <c r="R54" s="182">
        <v>2.167189</v>
      </c>
      <c r="S54" s="182">
        <v>2.1853729999999998</v>
      </c>
      <c r="T54" s="182">
        <v>2.202712</v>
      </c>
      <c r="U54" s="182">
        <v>2.2132010000000002</v>
      </c>
      <c r="V54" s="182">
        <v>2.2377820000000002</v>
      </c>
      <c r="W54" s="182">
        <v>2.2558850000000001</v>
      </c>
      <c r="X54" s="182">
        <v>2.2615729999999998</v>
      </c>
      <c r="Y54" s="182">
        <v>2.2771379999999999</v>
      </c>
      <c r="Z54" s="182">
        <v>2.2965460000000002</v>
      </c>
      <c r="AA54" s="182">
        <v>2.302915</v>
      </c>
      <c r="AB54" s="182">
        <v>2.312783</v>
      </c>
      <c r="AC54" s="182">
        <v>2.3200310000000002</v>
      </c>
      <c r="AD54" s="182">
        <v>2.3240630000000002</v>
      </c>
      <c r="AE54" s="182">
        <v>2.3228</v>
      </c>
      <c r="AF54" s="182">
        <v>2.3198850000000002</v>
      </c>
      <c r="AG54" s="181">
        <v>9.1299999999999992E-3</v>
      </c>
    </row>
    <row r="55" spans="1:33" ht="15" customHeight="1">
      <c r="A55" s="173" t="s">
        <v>883</v>
      </c>
      <c r="B55" s="179" t="s">
        <v>870</v>
      </c>
      <c r="C55" s="182">
        <v>3.1081029999999998</v>
      </c>
      <c r="D55" s="182">
        <v>2.9807070000000002</v>
      </c>
      <c r="E55" s="182">
        <v>2.6706409999999998</v>
      </c>
      <c r="F55" s="182">
        <v>2.6543049999999999</v>
      </c>
      <c r="G55" s="182">
        <v>2.6267170000000002</v>
      </c>
      <c r="H55" s="182">
        <v>2.652568</v>
      </c>
      <c r="I55" s="182">
        <v>2.681886</v>
      </c>
      <c r="J55" s="182">
        <v>2.7102900000000001</v>
      </c>
      <c r="K55" s="182">
        <v>2.7300409999999999</v>
      </c>
      <c r="L55" s="182">
        <v>2.7968660000000001</v>
      </c>
      <c r="M55" s="182">
        <v>2.8854890000000002</v>
      </c>
      <c r="N55" s="182">
        <v>2.9141360000000001</v>
      </c>
      <c r="O55" s="182">
        <v>2.937602</v>
      </c>
      <c r="P55" s="182">
        <v>2.9597259999999999</v>
      </c>
      <c r="Q55" s="182">
        <v>2.970234</v>
      </c>
      <c r="R55" s="182">
        <v>2.9908399999999999</v>
      </c>
      <c r="S55" s="182">
        <v>3.0090789999999998</v>
      </c>
      <c r="T55" s="182">
        <v>3.0415730000000001</v>
      </c>
      <c r="U55" s="182">
        <v>3.0426850000000001</v>
      </c>
      <c r="V55" s="182">
        <v>3.066071</v>
      </c>
      <c r="W55" s="182">
        <v>3.0850620000000002</v>
      </c>
      <c r="X55" s="182">
        <v>3.089547</v>
      </c>
      <c r="Y55" s="182">
        <v>3.1197680000000001</v>
      </c>
      <c r="Z55" s="182">
        <v>3.1488130000000001</v>
      </c>
      <c r="AA55" s="182">
        <v>3.1584680000000001</v>
      </c>
      <c r="AB55" s="182">
        <v>3.1833019999999999</v>
      </c>
      <c r="AC55" s="182">
        <v>3.1926580000000002</v>
      </c>
      <c r="AD55" s="182">
        <v>3.1836329999999999</v>
      </c>
      <c r="AE55" s="182">
        <v>3.185066</v>
      </c>
      <c r="AF55" s="182">
        <v>3.184005</v>
      </c>
      <c r="AG55" s="181">
        <v>8.3199999999999995E-4</v>
      </c>
    </row>
    <row r="56" spans="1:33" ht="15" customHeight="1">
      <c r="A56" s="173" t="s">
        <v>884</v>
      </c>
      <c r="B56" s="179" t="s">
        <v>872</v>
      </c>
      <c r="C56" s="182">
        <v>1.9841310000000001</v>
      </c>
      <c r="D56" s="182">
        <v>2.074087</v>
      </c>
      <c r="E56" s="182">
        <v>1.9361250000000001</v>
      </c>
      <c r="F56" s="182">
        <v>2.0944099999999999</v>
      </c>
      <c r="G56" s="182">
        <v>2.102668</v>
      </c>
      <c r="H56" s="182">
        <v>2.122528</v>
      </c>
      <c r="I56" s="182">
        <v>2.1605829999999999</v>
      </c>
      <c r="J56" s="182">
        <v>2.1980770000000001</v>
      </c>
      <c r="K56" s="182">
        <v>2.2209110000000001</v>
      </c>
      <c r="L56" s="182">
        <v>2.2132079999999998</v>
      </c>
      <c r="M56" s="182">
        <v>2.278734</v>
      </c>
      <c r="N56" s="182">
        <v>2.3035899999999998</v>
      </c>
      <c r="O56" s="182">
        <v>2.3185989999999999</v>
      </c>
      <c r="P56" s="182">
        <v>2.3414109999999999</v>
      </c>
      <c r="Q56" s="182">
        <v>2.3565649999999998</v>
      </c>
      <c r="R56" s="182">
        <v>2.3831630000000001</v>
      </c>
      <c r="S56" s="182">
        <v>2.4178419999999998</v>
      </c>
      <c r="T56" s="182">
        <v>2.4420540000000002</v>
      </c>
      <c r="U56" s="182">
        <v>2.4560870000000001</v>
      </c>
      <c r="V56" s="182">
        <v>2.4813749999999999</v>
      </c>
      <c r="W56" s="182">
        <v>2.500569</v>
      </c>
      <c r="X56" s="182">
        <v>2.5060980000000002</v>
      </c>
      <c r="Y56" s="182">
        <v>2.5454699999999999</v>
      </c>
      <c r="Z56" s="182">
        <v>2.5874899999999998</v>
      </c>
      <c r="AA56" s="182">
        <v>2.6021800000000002</v>
      </c>
      <c r="AB56" s="182">
        <v>2.630452</v>
      </c>
      <c r="AC56" s="182">
        <v>2.6427960000000001</v>
      </c>
      <c r="AD56" s="182">
        <v>2.639014</v>
      </c>
      <c r="AE56" s="182">
        <v>2.644622</v>
      </c>
      <c r="AF56" s="182">
        <v>2.6367720000000001</v>
      </c>
      <c r="AG56" s="181">
        <v>9.8539999999999999E-3</v>
      </c>
    </row>
    <row r="57" spans="1:33" ht="15" customHeight="1">
      <c r="A57" s="173" t="s">
        <v>885</v>
      </c>
      <c r="B57" s="179" t="s">
        <v>851</v>
      </c>
      <c r="C57" s="182">
        <v>3.1917279999999999</v>
      </c>
      <c r="D57" s="182">
        <v>3.104994</v>
      </c>
      <c r="E57" s="182">
        <v>2.9822899999999999</v>
      </c>
      <c r="F57" s="182">
        <v>3.083304</v>
      </c>
      <c r="G57" s="182">
        <v>3.0690050000000002</v>
      </c>
      <c r="H57" s="182">
        <v>3.0547240000000002</v>
      </c>
      <c r="I57" s="182">
        <v>3.0537459999999998</v>
      </c>
      <c r="J57" s="182">
        <v>3.0785809999999998</v>
      </c>
      <c r="K57" s="182">
        <v>3.0948669999999998</v>
      </c>
      <c r="L57" s="182">
        <v>3.0896479999999999</v>
      </c>
      <c r="M57" s="182">
        <v>3.1622650000000001</v>
      </c>
      <c r="N57" s="182">
        <v>3.1746289999999999</v>
      </c>
      <c r="O57" s="182">
        <v>3.1901920000000001</v>
      </c>
      <c r="P57" s="182">
        <v>3.1948340000000002</v>
      </c>
      <c r="Q57" s="182">
        <v>3.2073610000000001</v>
      </c>
      <c r="R57" s="182">
        <v>3.2302369999999998</v>
      </c>
      <c r="S57" s="182">
        <v>3.2599119999999999</v>
      </c>
      <c r="T57" s="182">
        <v>3.2772670000000002</v>
      </c>
      <c r="U57" s="182">
        <v>3.2871229999999998</v>
      </c>
      <c r="V57" s="182">
        <v>3.3143500000000001</v>
      </c>
      <c r="W57" s="182">
        <v>3.328751</v>
      </c>
      <c r="X57" s="182">
        <v>3.3304209999999999</v>
      </c>
      <c r="Y57" s="182">
        <v>3.3655270000000002</v>
      </c>
      <c r="Z57" s="182">
        <v>3.4035850000000001</v>
      </c>
      <c r="AA57" s="182">
        <v>3.4180380000000001</v>
      </c>
      <c r="AB57" s="182">
        <v>3.4427810000000001</v>
      </c>
      <c r="AC57" s="182">
        <v>3.4493450000000001</v>
      </c>
      <c r="AD57" s="182">
        <v>3.4420790000000001</v>
      </c>
      <c r="AE57" s="182">
        <v>3.4383539999999999</v>
      </c>
      <c r="AF57" s="182">
        <v>3.4277639999999998</v>
      </c>
      <c r="AG57" s="181">
        <v>2.4629999999999999E-3</v>
      </c>
    </row>
    <row r="58" spans="1:33" ht="15" customHeight="1">
      <c r="A58" s="173" t="s">
        <v>886</v>
      </c>
      <c r="B58" s="179" t="s">
        <v>855</v>
      </c>
      <c r="C58" s="182">
        <v>1.7983180000000001</v>
      </c>
      <c r="D58" s="182">
        <v>1.565569</v>
      </c>
      <c r="E58" s="182">
        <v>1.882933</v>
      </c>
      <c r="F58" s="182">
        <v>2.025118</v>
      </c>
      <c r="G58" s="182">
        <v>2.0563889999999998</v>
      </c>
      <c r="H58" s="182">
        <v>2.087075</v>
      </c>
      <c r="I58" s="182">
        <v>2.1449609999999999</v>
      </c>
      <c r="J58" s="182">
        <v>2.1712250000000002</v>
      </c>
      <c r="K58" s="182">
        <v>2.1857959999999999</v>
      </c>
      <c r="L58" s="182">
        <v>2.2032910000000001</v>
      </c>
      <c r="M58" s="182">
        <v>2.2371889999999999</v>
      </c>
      <c r="N58" s="182">
        <v>2.2531340000000002</v>
      </c>
      <c r="O58" s="182">
        <v>2.2720820000000002</v>
      </c>
      <c r="P58" s="182">
        <v>2.2739699999999998</v>
      </c>
      <c r="Q58" s="182">
        <v>2.2788200000000001</v>
      </c>
      <c r="R58" s="182">
        <v>2.275827</v>
      </c>
      <c r="S58" s="182">
        <v>2.2796729999999998</v>
      </c>
      <c r="T58" s="182">
        <v>2.30802</v>
      </c>
      <c r="U58" s="182">
        <v>2.2988789999999999</v>
      </c>
      <c r="V58" s="182">
        <v>2.34918</v>
      </c>
      <c r="W58" s="182">
        <v>2.3683550000000002</v>
      </c>
      <c r="X58" s="182">
        <v>2.3806929999999999</v>
      </c>
      <c r="Y58" s="182">
        <v>2.426139</v>
      </c>
      <c r="Z58" s="182">
        <v>2.4580660000000001</v>
      </c>
      <c r="AA58" s="182">
        <v>2.4709460000000001</v>
      </c>
      <c r="AB58" s="182">
        <v>2.4936569999999998</v>
      </c>
      <c r="AC58" s="182">
        <v>2.502068</v>
      </c>
      <c r="AD58" s="182">
        <v>2.4977809999999998</v>
      </c>
      <c r="AE58" s="182">
        <v>2.502669</v>
      </c>
      <c r="AF58" s="182">
        <v>2.496651</v>
      </c>
      <c r="AG58" s="181">
        <v>1.1377999999999999E-2</v>
      </c>
    </row>
    <row r="59" spans="1:33" ht="15" customHeight="1">
      <c r="A59" s="173" t="s">
        <v>887</v>
      </c>
      <c r="B59" s="179" t="s">
        <v>857</v>
      </c>
      <c r="C59" s="180">
        <v>75.529373000000007</v>
      </c>
      <c r="D59" s="180">
        <v>65.753906000000001</v>
      </c>
      <c r="E59" s="180">
        <v>79.083183000000005</v>
      </c>
      <c r="F59" s="180">
        <v>85.054939000000005</v>
      </c>
      <c r="G59" s="180">
        <v>86.368331999999995</v>
      </c>
      <c r="H59" s="180">
        <v>87.657143000000005</v>
      </c>
      <c r="I59" s="180">
        <v>90.088356000000005</v>
      </c>
      <c r="J59" s="180">
        <v>91.191451999999998</v>
      </c>
      <c r="K59" s="180">
        <v>91.803428999999994</v>
      </c>
      <c r="L59" s="180">
        <v>92.538230999999996</v>
      </c>
      <c r="M59" s="180">
        <v>93.961928999999998</v>
      </c>
      <c r="N59" s="180">
        <v>94.631630000000001</v>
      </c>
      <c r="O59" s="180">
        <v>95.427452000000002</v>
      </c>
      <c r="P59" s="180">
        <v>95.506743999999998</v>
      </c>
      <c r="Q59" s="180">
        <v>95.710434000000006</v>
      </c>
      <c r="R59" s="180">
        <v>95.584739999999996</v>
      </c>
      <c r="S59" s="180">
        <v>95.746277000000006</v>
      </c>
      <c r="T59" s="180">
        <v>96.936843999999994</v>
      </c>
      <c r="U59" s="180">
        <v>96.552902000000003</v>
      </c>
      <c r="V59" s="180">
        <v>98.665565000000001</v>
      </c>
      <c r="W59" s="180">
        <v>99.470909000000006</v>
      </c>
      <c r="X59" s="180">
        <v>99.98912</v>
      </c>
      <c r="Y59" s="180">
        <v>101.89785000000001</v>
      </c>
      <c r="Z59" s="180">
        <v>103.238747</v>
      </c>
      <c r="AA59" s="180">
        <v>103.779724</v>
      </c>
      <c r="AB59" s="180">
        <v>104.733604</v>
      </c>
      <c r="AC59" s="180">
        <v>105.086838</v>
      </c>
      <c r="AD59" s="180">
        <v>104.906807</v>
      </c>
      <c r="AE59" s="180">
        <v>105.11211400000001</v>
      </c>
      <c r="AF59" s="180">
        <v>104.85936</v>
      </c>
      <c r="AG59" s="181">
        <v>1.1377999999999999E-2</v>
      </c>
    </row>
    <row r="60" spans="1:33" ht="15" customHeight="1">
      <c r="A60" s="173" t="s">
        <v>888</v>
      </c>
      <c r="B60" s="178" t="s">
        <v>889</v>
      </c>
      <c r="C60" s="188">
        <v>2.540254</v>
      </c>
      <c r="D60" s="188">
        <v>2.4439500000000001</v>
      </c>
      <c r="E60" s="188">
        <v>2.2429109999999999</v>
      </c>
      <c r="F60" s="188">
        <v>2.2644630000000001</v>
      </c>
      <c r="G60" s="188">
        <v>2.2357770000000001</v>
      </c>
      <c r="H60" s="188">
        <v>2.2351909999999999</v>
      </c>
      <c r="I60" s="188">
        <v>2.2473359999999998</v>
      </c>
      <c r="J60" s="188">
        <v>2.2673019999999999</v>
      </c>
      <c r="K60" s="188">
        <v>2.2800370000000001</v>
      </c>
      <c r="L60" s="188">
        <v>2.3086319999999998</v>
      </c>
      <c r="M60" s="188">
        <v>2.3638370000000002</v>
      </c>
      <c r="N60" s="188">
        <v>2.383794</v>
      </c>
      <c r="O60" s="188">
        <v>2.4029310000000002</v>
      </c>
      <c r="P60" s="188">
        <v>2.4140619999999999</v>
      </c>
      <c r="Q60" s="188">
        <v>2.4229349999999998</v>
      </c>
      <c r="R60" s="188">
        <v>2.4404889999999999</v>
      </c>
      <c r="S60" s="188">
        <v>2.4587129999999999</v>
      </c>
      <c r="T60" s="188">
        <v>2.4814829999999999</v>
      </c>
      <c r="U60" s="188">
        <v>2.4824999999999999</v>
      </c>
      <c r="V60" s="188">
        <v>2.5030329999999998</v>
      </c>
      <c r="W60" s="188">
        <v>2.5152290000000002</v>
      </c>
      <c r="X60" s="188">
        <v>2.5175900000000002</v>
      </c>
      <c r="Y60" s="188">
        <v>2.5467590000000002</v>
      </c>
      <c r="Z60" s="188">
        <v>2.573108</v>
      </c>
      <c r="AA60" s="188">
        <v>2.5806170000000002</v>
      </c>
      <c r="AB60" s="188">
        <v>2.6023320000000001</v>
      </c>
      <c r="AC60" s="188">
        <v>2.6113559999999998</v>
      </c>
      <c r="AD60" s="188">
        <v>2.6094330000000001</v>
      </c>
      <c r="AE60" s="188">
        <v>2.6103529999999999</v>
      </c>
      <c r="AF60" s="188">
        <v>2.6080299999999998</v>
      </c>
      <c r="AG60" s="189">
        <v>9.0799999999999995E-4</v>
      </c>
    </row>
    <row r="61" spans="1:33" ht="15" customHeight="1"/>
    <row r="62" spans="1:33" ht="15" customHeight="1"/>
    <row r="63" spans="1:33" ht="15" customHeight="1">
      <c r="B63" s="178" t="s">
        <v>890</v>
      </c>
    </row>
    <row r="64" spans="1:33" ht="15" customHeight="1">
      <c r="B64" s="178" t="s">
        <v>891</v>
      </c>
    </row>
    <row r="65" spans="1:33" ht="15" customHeight="1">
      <c r="A65" s="173" t="s">
        <v>892</v>
      </c>
      <c r="B65" s="179" t="s">
        <v>839</v>
      </c>
      <c r="C65" s="180">
        <v>71.587997000000001</v>
      </c>
      <c r="D65" s="180">
        <v>71.908996999999999</v>
      </c>
      <c r="E65" s="180">
        <v>63.119633</v>
      </c>
      <c r="F65" s="180">
        <v>70.030754000000002</v>
      </c>
      <c r="G65" s="180">
        <v>73.077590999999998</v>
      </c>
      <c r="H65" s="180">
        <v>76.659148999999999</v>
      </c>
      <c r="I65" s="180">
        <v>80.626732000000004</v>
      </c>
      <c r="J65" s="180">
        <v>84.434218999999999</v>
      </c>
      <c r="K65" s="180">
        <v>87.341201999999996</v>
      </c>
      <c r="L65" s="180">
        <v>91.066528000000005</v>
      </c>
      <c r="M65" s="180">
        <v>95.058066999999994</v>
      </c>
      <c r="N65" s="180">
        <v>98.613822999999996</v>
      </c>
      <c r="O65" s="180">
        <v>101.909042</v>
      </c>
      <c r="P65" s="180">
        <v>105.137276</v>
      </c>
      <c r="Q65" s="180">
        <v>108.46315</v>
      </c>
      <c r="R65" s="180">
        <v>112.433739</v>
      </c>
      <c r="S65" s="180">
        <v>116.328453</v>
      </c>
      <c r="T65" s="180">
        <v>120.363411</v>
      </c>
      <c r="U65" s="180">
        <v>123.48275</v>
      </c>
      <c r="V65" s="180">
        <v>128.911697</v>
      </c>
      <c r="W65" s="180">
        <v>133.167023</v>
      </c>
      <c r="X65" s="180">
        <v>136.71412699999999</v>
      </c>
      <c r="Y65" s="180">
        <v>142.15248099999999</v>
      </c>
      <c r="Z65" s="180">
        <v>148.18592799999999</v>
      </c>
      <c r="AA65" s="180">
        <v>152.33590699999999</v>
      </c>
      <c r="AB65" s="180">
        <v>158.004425</v>
      </c>
      <c r="AC65" s="180">
        <v>162.371307</v>
      </c>
      <c r="AD65" s="180">
        <v>165.773224</v>
      </c>
      <c r="AE65" s="180">
        <v>169.80813599999999</v>
      </c>
      <c r="AF65" s="180">
        <v>173.077652</v>
      </c>
      <c r="AG65" s="181">
        <v>3.091E-2</v>
      </c>
    </row>
    <row r="66" spans="1:33">
      <c r="A66" s="173" t="s">
        <v>893</v>
      </c>
      <c r="B66" s="179" t="s">
        <v>841</v>
      </c>
      <c r="C66" s="180">
        <v>69.023003000000003</v>
      </c>
      <c r="D66" s="180">
        <v>68.280997999999997</v>
      </c>
      <c r="E66" s="180">
        <v>61.278576000000001</v>
      </c>
      <c r="F66" s="180">
        <v>68.190169999999995</v>
      </c>
      <c r="G66" s="180">
        <v>70.638176000000001</v>
      </c>
      <c r="H66" s="180">
        <v>73.775024000000002</v>
      </c>
      <c r="I66" s="180">
        <v>77.795546999999999</v>
      </c>
      <c r="J66" s="180">
        <v>81.362174999999993</v>
      </c>
      <c r="K66" s="180">
        <v>84.567290999999997</v>
      </c>
      <c r="L66" s="180">
        <v>87.867508000000001</v>
      </c>
      <c r="M66" s="180">
        <v>91.775176999999999</v>
      </c>
      <c r="N66" s="180">
        <v>95.321999000000005</v>
      </c>
      <c r="O66" s="180">
        <v>98.474007</v>
      </c>
      <c r="P66" s="180">
        <v>101.215805</v>
      </c>
      <c r="Q66" s="180">
        <v>104.440201</v>
      </c>
      <c r="R66" s="180">
        <v>108.455223</v>
      </c>
      <c r="S66" s="180">
        <v>112.134308</v>
      </c>
      <c r="T66" s="180">
        <v>116.147552</v>
      </c>
      <c r="U66" s="180">
        <v>119.10437</v>
      </c>
      <c r="V66" s="180">
        <v>124.12396200000001</v>
      </c>
      <c r="W66" s="180">
        <v>128.38916</v>
      </c>
      <c r="X66" s="180">
        <v>131.94232199999999</v>
      </c>
      <c r="Y66" s="180">
        <v>137.30856299999999</v>
      </c>
      <c r="Z66" s="180">
        <v>143.32762099999999</v>
      </c>
      <c r="AA66" s="180">
        <v>147.389847</v>
      </c>
      <c r="AB66" s="180">
        <v>152.94503800000001</v>
      </c>
      <c r="AC66" s="180">
        <v>156.33833300000001</v>
      </c>
      <c r="AD66" s="180">
        <v>160.131393</v>
      </c>
      <c r="AE66" s="180">
        <v>164.37977599999999</v>
      </c>
      <c r="AF66" s="180">
        <v>167.613632</v>
      </c>
      <c r="AG66" s="181">
        <v>3.1067000000000001E-2</v>
      </c>
    </row>
    <row r="67" spans="1:33" ht="15" customHeight="1">
      <c r="A67" s="173" t="s">
        <v>894</v>
      </c>
      <c r="B67" s="179" t="s">
        <v>843</v>
      </c>
      <c r="C67" s="180">
        <v>67.706001000000001</v>
      </c>
      <c r="D67" s="180">
        <v>65.872001999999995</v>
      </c>
      <c r="E67" s="180">
        <v>60.398895000000003</v>
      </c>
      <c r="F67" s="180">
        <v>67.038169999999994</v>
      </c>
      <c r="G67" s="180">
        <v>69.812370000000001</v>
      </c>
      <c r="H67" s="180">
        <v>72.746482999999998</v>
      </c>
      <c r="I67" s="180">
        <v>76.683166999999997</v>
      </c>
      <c r="J67" s="180">
        <v>79.987967999999995</v>
      </c>
      <c r="K67" s="180">
        <v>82.887939000000003</v>
      </c>
      <c r="L67" s="180">
        <v>85.847594999999998</v>
      </c>
      <c r="M67" s="180">
        <v>89.009155000000007</v>
      </c>
      <c r="N67" s="180">
        <v>92.316826000000006</v>
      </c>
      <c r="O67" s="180">
        <v>95.282996999999995</v>
      </c>
      <c r="P67" s="180">
        <v>98.262282999999996</v>
      </c>
      <c r="Q67" s="180">
        <v>101.151901</v>
      </c>
      <c r="R67" s="180">
        <v>104.72118399999999</v>
      </c>
      <c r="S67" s="180">
        <v>106.998634</v>
      </c>
      <c r="T67" s="180">
        <v>111.294945</v>
      </c>
      <c r="U67" s="180">
        <v>113.529366</v>
      </c>
      <c r="V67" s="180">
        <v>120.19302399999999</v>
      </c>
      <c r="W67" s="180">
        <v>124.389732</v>
      </c>
      <c r="X67" s="180">
        <v>128.118256</v>
      </c>
      <c r="Y67" s="180">
        <v>134.03939800000001</v>
      </c>
      <c r="Z67" s="180">
        <v>139.437332</v>
      </c>
      <c r="AA67" s="180">
        <v>143.56899999999999</v>
      </c>
      <c r="AB67" s="180">
        <v>149.284515</v>
      </c>
      <c r="AC67" s="180">
        <v>152.988968</v>
      </c>
      <c r="AD67" s="180">
        <v>156.090881</v>
      </c>
      <c r="AE67" s="180">
        <v>159.809799</v>
      </c>
      <c r="AF67" s="180">
        <v>163.184967</v>
      </c>
      <c r="AG67" s="181">
        <v>3.0800000000000001E-2</v>
      </c>
    </row>
    <row r="68" spans="1:33" ht="15" customHeight="1"/>
    <row r="69" spans="1:33" ht="15" customHeight="1">
      <c r="B69" s="178" t="s">
        <v>895</v>
      </c>
    </row>
    <row r="70" spans="1:33" ht="15" customHeight="1">
      <c r="B70" s="178" t="s">
        <v>896</v>
      </c>
    </row>
    <row r="71" spans="1:33" ht="15" customHeight="1">
      <c r="B71" s="178" t="s">
        <v>847</v>
      </c>
    </row>
    <row r="72" spans="1:33" ht="15" customHeight="1">
      <c r="A72" s="173" t="s">
        <v>897</v>
      </c>
      <c r="B72" s="179" t="s">
        <v>849</v>
      </c>
      <c r="C72" s="182">
        <v>1.964866</v>
      </c>
      <c r="D72" s="182">
        <v>2.1748500000000002</v>
      </c>
      <c r="E72" s="182">
        <v>2.1924489999999999</v>
      </c>
      <c r="F72" s="182">
        <v>2.2464110000000002</v>
      </c>
      <c r="G72" s="182">
        <v>2.2941660000000001</v>
      </c>
      <c r="H72" s="182">
        <v>2.3591859999999998</v>
      </c>
      <c r="I72" s="182">
        <v>2.4519600000000001</v>
      </c>
      <c r="J72" s="182">
        <v>2.5696379999999999</v>
      </c>
      <c r="K72" s="182">
        <v>2.686455</v>
      </c>
      <c r="L72" s="182">
        <v>2.8064909999999998</v>
      </c>
      <c r="M72" s="182">
        <v>2.9481700000000002</v>
      </c>
      <c r="N72" s="182">
        <v>3.0652659999999998</v>
      </c>
      <c r="O72" s="182">
        <v>3.1853820000000002</v>
      </c>
      <c r="P72" s="182">
        <v>3.295779</v>
      </c>
      <c r="Q72" s="182">
        <v>3.3992110000000002</v>
      </c>
      <c r="R72" s="182">
        <v>3.50414</v>
      </c>
      <c r="S72" s="182">
        <v>3.614808</v>
      </c>
      <c r="T72" s="182">
        <v>3.728523</v>
      </c>
      <c r="U72" s="182">
        <v>3.8361740000000002</v>
      </c>
      <c r="V72" s="182">
        <v>3.9647860000000001</v>
      </c>
      <c r="W72" s="182">
        <v>4.0917349999999999</v>
      </c>
      <c r="X72" s="182">
        <v>4.2056420000000001</v>
      </c>
      <c r="Y72" s="182">
        <v>4.3326849999999997</v>
      </c>
      <c r="Z72" s="182">
        <v>4.4697149999999999</v>
      </c>
      <c r="AA72" s="182">
        <v>4.5934330000000001</v>
      </c>
      <c r="AB72" s="182">
        <v>4.7228250000000003</v>
      </c>
      <c r="AC72" s="182">
        <v>4.851032</v>
      </c>
      <c r="AD72" s="182">
        <v>4.9768860000000004</v>
      </c>
      <c r="AE72" s="182">
        <v>5.0965490000000004</v>
      </c>
      <c r="AF72" s="182">
        <v>5.2138640000000001</v>
      </c>
      <c r="AG72" s="181">
        <v>3.4223999999999997E-2</v>
      </c>
    </row>
    <row r="73" spans="1:33">
      <c r="A73" s="173" t="s">
        <v>898</v>
      </c>
      <c r="B73" s="179" t="s">
        <v>851</v>
      </c>
      <c r="C73" s="182">
        <v>2.981662</v>
      </c>
      <c r="D73" s="182">
        <v>3.0975779999999999</v>
      </c>
      <c r="E73" s="182">
        <v>3.1066129999999998</v>
      </c>
      <c r="F73" s="182">
        <v>3.3819780000000002</v>
      </c>
      <c r="G73" s="182">
        <v>3.542713</v>
      </c>
      <c r="H73" s="182">
        <v>3.715338</v>
      </c>
      <c r="I73" s="182">
        <v>3.911737</v>
      </c>
      <c r="J73" s="182">
        <v>4.0397629999999998</v>
      </c>
      <c r="K73" s="182">
        <v>4.1579959999999998</v>
      </c>
      <c r="L73" s="182">
        <v>4.2491060000000003</v>
      </c>
      <c r="M73" s="182">
        <v>4.3944669999999997</v>
      </c>
      <c r="N73" s="182">
        <v>4.5104810000000004</v>
      </c>
      <c r="O73" s="182">
        <v>4.6216429999999997</v>
      </c>
      <c r="P73" s="182">
        <v>4.7338620000000002</v>
      </c>
      <c r="Q73" s="182">
        <v>4.8534930000000003</v>
      </c>
      <c r="R73" s="182">
        <v>4.9935460000000003</v>
      </c>
      <c r="S73" s="182">
        <v>5.1467780000000003</v>
      </c>
      <c r="T73" s="182">
        <v>5.2866520000000001</v>
      </c>
      <c r="U73" s="182">
        <v>5.4177220000000004</v>
      </c>
      <c r="V73" s="182">
        <v>5.5879620000000001</v>
      </c>
      <c r="W73" s="182">
        <v>5.7351549999999998</v>
      </c>
      <c r="X73" s="182">
        <v>5.8686410000000002</v>
      </c>
      <c r="Y73" s="182">
        <v>6.0541510000000001</v>
      </c>
      <c r="Z73" s="182">
        <v>6.2523260000000001</v>
      </c>
      <c r="AA73" s="182">
        <v>6.417573</v>
      </c>
      <c r="AB73" s="182">
        <v>6.6138089999999998</v>
      </c>
      <c r="AC73" s="182">
        <v>6.7715360000000002</v>
      </c>
      <c r="AD73" s="182">
        <v>6.9063270000000001</v>
      </c>
      <c r="AE73" s="182">
        <v>7.0602280000000004</v>
      </c>
      <c r="AF73" s="182">
        <v>7.2075389999999997</v>
      </c>
      <c r="AG73" s="181">
        <v>3.0904000000000001E-2</v>
      </c>
    </row>
    <row r="74" spans="1:33" ht="15" customHeight="1"/>
    <row r="75" spans="1:33" ht="15" customHeight="1">
      <c r="B75" s="178" t="s">
        <v>852</v>
      </c>
    </row>
    <row r="76" spans="1:33" ht="15" customHeight="1">
      <c r="A76" s="173" t="s">
        <v>899</v>
      </c>
      <c r="B76" s="179" t="s">
        <v>851</v>
      </c>
      <c r="C76" s="182">
        <v>2.9924080000000002</v>
      </c>
      <c r="D76" s="182">
        <v>3.1092439999999999</v>
      </c>
      <c r="E76" s="182">
        <v>2.9528810000000001</v>
      </c>
      <c r="F76" s="182">
        <v>3.0723099999999999</v>
      </c>
      <c r="G76" s="182">
        <v>3.063733</v>
      </c>
      <c r="H76" s="182">
        <v>3.0597409999999998</v>
      </c>
      <c r="I76" s="182">
        <v>3.0725380000000002</v>
      </c>
      <c r="J76" s="182">
        <v>3.180517</v>
      </c>
      <c r="K76" s="182">
        <v>3.2769680000000001</v>
      </c>
      <c r="L76" s="182">
        <v>3.3479640000000002</v>
      </c>
      <c r="M76" s="182">
        <v>3.5268389999999998</v>
      </c>
      <c r="N76" s="182">
        <v>3.624533</v>
      </c>
      <c r="O76" s="182">
        <v>3.7252540000000001</v>
      </c>
      <c r="P76" s="182">
        <v>3.8182659999999999</v>
      </c>
      <c r="Q76" s="182">
        <v>3.9203100000000002</v>
      </c>
      <c r="R76" s="182">
        <v>4.04033</v>
      </c>
      <c r="S76" s="182">
        <v>4.17293</v>
      </c>
      <c r="T76" s="182">
        <v>4.2920230000000004</v>
      </c>
      <c r="U76" s="182">
        <v>4.4011100000000001</v>
      </c>
      <c r="V76" s="182">
        <v>4.5446850000000003</v>
      </c>
      <c r="W76" s="182">
        <v>4.669791</v>
      </c>
      <c r="X76" s="182">
        <v>4.779782</v>
      </c>
      <c r="Y76" s="182">
        <v>4.9446469999999998</v>
      </c>
      <c r="Z76" s="182">
        <v>5.121518</v>
      </c>
      <c r="AA76" s="182">
        <v>5.2630179999999998</v>
      </c>
      <c r="AB76" s="182">
        <v>5.4292299999999996</v>
      </c>
      <c r="AC76" s="182">
        <v>5.5640099999999997</v>
      </c>
      <c r="AD76" s="182">
        <v>5.6760070000000002</v>
      </c>
      <c r="AE76" s="182">
        <v>5.8002580000000004</v>
      </c>
      <c r="AF76" s="182">
        <v>5.9135210000000002</v>
      </c>
      <c r="AG76" s="181">
        <v>2.3765999999999999E-2</v>
      </c>
    </row>
    <row r="77" spans="1:33" ht="15" customHeight="1">
      <c r="A77" s="173" t="s">
        <v>900</v>
      </c>
      <c r="B77" s="179" t="s">
        <v>855</v>
      </c>
      <c r="C77" s="182">
        <v>0.97293499999999999</v>
      </c>
      <c r="D77" s="182">
        <v>1.1566879999999999</v>
      </c>
      <c r="E77" s="182">
        <v>1.1966000000000001</v>
      </c>
      <c r="F77" s="182">
        <v>1.4371609999999999</v>
      </c>
      <c r="G77" s="182">
        <v>1.5591569999999999</v>
      </c>
      <c r="H77" s="182">
        <v>1.694539</v>
      </c>
      <c r="I77" s="182">
        <v>1.8698300000000001</v>
      </c>
      <c r="J77" s="182">
        <v>1.9530149999999999</v>
      </c>
      <c r="K77" s="182">
        <v>2.0181450000000001</v>
      </c>
      <c r="L77" s="182">
        <v>2.0937299999999999</v>
      </c>
      <c r="M77" s="182">
        <v>2.1761309999999998</v>
      </c>
      <c r="N77" s="182">
        <v>2.2516259999999999</v>
      </c>
      <c r="O77" s="182">
        <v>2.3251499999999998</v>
      </c>
      <c r="P77" s="182">
        <v>2.3792360000000001</v>
      </c>
      <c r="Q77" s="182">
        <v>2.435718</v>
      </c>
      <c r="R77" s="182">
        <v>2.479047</v>
      </c>
      <c r="S77" s="182">
        <v>2.5292059999999998</v>
      </c>
      <c r="T77" s="182">
        <v>2.6296249999999999</v>
      </c>
      <c r="U77" s="182">
        <v>2.6489880000000001</v>
      </c>
      <c r="V77" s="182">
        <v>2.8298510000000001</v>
      </c>
      <c r="W77" s="182">
        <v>2.9345690000000002</v>
      </c>
      <c r="X77" s="182">
        <v>3.0354000000000001</v>
      </c>
      <c r="Y77" s="182">
        <v>3.1965789999999998</v>
      </c>
      <c r="Z77" s="182">
        <v>3.3387380000000002</v>
      </c>
      <c r="AA77" s="182">
        <v>3.4383189999999999</v>
      </c>
      <c r="AB77" s="182">
        <v>3.555679</v>
      </c>
      <c r="AC77" s="182">
        <v>3.6679379999999999</v>
      </c>
      <c r="AD77" s="182">
        <v>3.7260939999999998</v>
      </c>
      <c r="AE77" s="182">
        <v>3.8275290000000002</v>
      </c>
      <c r="AF77" s="182">
        <v>3.890857</v>
      </c>
      <c r="AG77" s="181">
        <v>4.8956E-2</v>
      </c>
    </row>
    <row r="78" spans="1:33" ht="15" customHeight="1"/>
    <row r="79" spans="1:33">
      <c r="B79" s="178" t="s">
        <v>858</v>
      </c>
    </row>
    <row r="80" spans="1:33" ht="15" customHeight="1">
      <c r="A80" s="173" t="s">
        <v>901</v>
      </c>
      <c r="B80" s="179" t="s">
        <v>849</v>
      </c>
      <c r="C80" s="182">
        <v>1.247592</v>
      </c>
      <c r="D80" s="182">
        <v>1.3556239999999999</v>
      </c>
      <c r="E80" s="182">
        <v>1.209743</v>
      </c>
      <c r="F80" s="182">
        <v>1.2354830000000001</v>
      </c>
      <c r="G80" s="182">
        <v>1.252929</v>
      </c>
      <c r="H80" s="182">
        <v>1.298986</v>
      </c>
      <c r="I80" s="182">
        <v>1.374784</v>
      </c>
      <c r="J80" s="182">
        <v>1.470402</v>
      </c>
      <c r="K80" s="182">
        <v>1.547558</v>
      </c>
      <c r="L80" s="182">
        <v>1.62836</v>
      </c>
      <c r="M80" s="182">
        <v>1.706931</v>
      </c>
      <c r="N80" s="182">
        <v>1.7793300000000001</v>
      </c>
      <c r="O80" s="182">
        <v>1.8528180000000001</v>
      </c>
      <c r="P80" s="182">
        <v>1.9152210000000001</v>
      </c>
      <c r="Q80" s="182">
        <v>1.9721759999999999</v>
      </c>
      <c r="R80" s="182">
        <v>2.0363020000000001</v>
      </c>
      <c r="S80" s="182">
        <v>2.1084960000000001</v>
      </c>
      <c r="T80" s="182">
        <v>2.1809229999999999</v>
      </c>
      <c r="U80" s="182">
        <v>2.2419799999999999</v>
      </c>
      <c r="V80" s="182">
        <v>2.3362470000000002</v>
      </c>
      <c r="W80" s="182">
        <v>2.4156900000000001</v>
      </c>
      <c r="X80" s="182">
        <v>2.4732229999999999</v>
      </c>
      <c r="Y80" s="182">
        <v>2.5590259999999998</v>
      </c>
      <c r="Z80" s="182">
        <v>2.6534309999999999</v>
      </c>
      <c r="AA80" s="182">
        <v>2.7191649999999998</v>
      </c>
      <c r="AB80" s="182">
        <v>2.7999010000000002</v>
      </c>
      <c r="AC80" s="182">
        <v>2.87643</v>
      </c>
      <c r="AD80" s="182">
        <v>2.9487510000000001</v>
      </c>
      <c r="AE80" s="182">
        <v>3.0122800000000001</v>
      </c>
      <c r="AF80" s="182">
        <v>3.0764800000000001</v>
      </c>
      <c r="AG80" s="181">
        <v>3.1613000000000002E-2</v>
      </c>
    </row>
    <row r="81" spans="1:33">
      <c r="A81" s="173" t="s">
        <v>902</v>
      </c>
      <c r="B81" s="179" t="s">
        <v>851</v>
      </c>
      <c r="C81" s="182">
        <v>2.9826980000000001</v>
      </c>
      <c r="D81" s="182">
        <v>3.0985200000000002</v>
      </c>
      <c r="E81" s="182">
        <v>2.9535650000000002</v>
      </c>
      <c r="F81" s="182">
        <v>3.0678320000000001</v>
      </c>
      <c r="G81" s="182">
        <v>3.0579550000000002</v>
      </c>
      <c r="H81" s="182">
        <v>3.051269</v>
      </c>
      <c r="I81" s="182">
        <v>3.0600450000000001</v>
      </c>
      <c r="J81" s="182">
        <v>3.1684589999999999</v>
      </c>
      <c r="K81" s="182">
        <v>3.2662049999999998</v>
      </c>
      <c r="L81" s="182">
        <v>3.3377629999999998</v>
      </c>
      <c r="M81" s="182">
        <v>3.464054</v>
      </c>
      <c r="N81" s="182">
        <v>3.5603120000000001</v>
      </c>
      <c r="O81" s="182">
        <v>3.654309</v>
      </c>
      <c r="P81" s="182">
        <v>3.74526</v>
      </c>
      <c r="Q81" s="182">
        <v>3.8475190000000001</v>
      </c>
      <c r="R81" s="182">
        <v>3.9676369999999999</v>
      </c>
      <c r="S81" s="182">
        <v>4.0998830000000002</v>
      </c>
      <c r="T81" s="182">
        <v>4.2185110000000003</v>
      </c>
      <c r="U81" s="182">
        <v>4.3273890000000002</v>
      </c>
      <c r="V81" s="182">
        <v>4.4684699999999999</v>
      </c>
      <c r="W81" s="182">
        <v>4.5940329999999996</v>
      </c>
      <c r="X81" s="182">
        <v>4.7034019999999996</v>
      </c>
      <c r="Y81" s="182">
        <v>4.8702540000000001</v>
      </c>
      <c r="Z81" s="182">
        <v>5.0477179999999997</v>
      </c>
      <c r="AA81" s="182">
        <v>5.1886409999999996</v>
      </c>
      <c r="AB81" s="182">
        <v>5.3522749999999997</v>
      </c>
      <c r="AC81" s="182">
        <v>5.4879249999999997</v>
      </c>
      <c r="AD81" s="182">
        <v>5.601464</v>
      </c>
      <c r="AE81" s="182">
        <v>5.7241090000000003</v>
      </c>
      <c r="AF81" s="182">
        <v>5.8357450000000002</v>
      </c>
      <c r="AG81" s="181">
        <v>2.3414000000000001E-2</v>
      </c>
    </row>
    <row r="82" spans="1:33" ht="15" customHeight="1">
      <c r="A82" s="173" t="s">
        <v>903</v>
      </c>
      <c r="B82" s="179" t="s">
        <v>855</v>
      </c>
      <c r="C82" s="182">
        <v>1.0599479999999999</v>
      </c>
      <c r="D82" s="182">
        <v>1.2694460000000001</v>
      </c>
      <c r="E82" s="182">
        <v>1.346131</v>
      </c>
      <c r="F82" s="182">
        <v>1.6228180000000001</v>
      </c>
      <c r="G82" s="182">
        <v>1.781226</v>
      </c>
      <c r="H82" s="182">
        <v>1.962197</v>
      </c>
      <c r="I82" s="182">
        <v>2.180606</v>
      </c>
      <c r="J82" s="182">
        <v>2.2753510000000001</v>
      </c>
      <c r="K82" s="182">
        <v>2.352303</v>
      </c>
      <c r="L82" s="182">
        <v>2.4384749999999999</v>
      </c>
      <c r="M82" s="182">
        <v>2.5327280000000001</v>
      </c>
      <c r="N82" s="182">
        <v>2.618817</v>
      </c>
      <c r="O82" s="182">
        <v>2.7033160000000001</v>
      </c>
      <c r="P82" s="182">
        <v>2.7685360000000001</v>
      </c>
      <c r="Q82" s="182">
        <v>2.8372310000000001</v>
      </c>
      <c r="R82" s="182">
        <v>2.8912589999999998</v>
      </c>
      <c r="S82" s="182">
        <v>2.9481510000000002</v>
      </c>
      <c r="T82" s="182">
        <v>3.06603</v>
      </c>
      <c r="U82" s="182">
        <v>3.1049850000000001</v>
      </c>
      <c r="V82" s="182">
        <v>3.2935509999999999</v>
      </c>
      <c r="W82" s="182">
        <v>3.4104269999999999</v>
      </c>
      <c r="X82" s="182">
        <v>3.5227740000000001</v>
      </c>
      <c r="Y82" s="182">
        <v>3.6945489999999999</v>
      </c>
      <c r="Z82" s="182">
        <v>3.8423530000000001</v>
      </c>
      <c r="AA82" s="182">
        <v>3.9519639999999998</v>
      </c>
      <c r="AB82" s="182">
        <v>4.0875149999999998</v>
      </c>
      <c r="AC82" s="182">
        <v>4.2013439999999997</v>
      </c>
      <c r="AD82" s="182">
        <v>4.2884900000000004</v>
      </c>
      <c r="AE82" s="182">
        <v>4.3951130000000003</v>
      </c>
      <c r="AF82" s="182">
        <v>4.4819139999999997</v>
      </c>
      <c r="AG82" s="181">
        <v>5.0974999999999999E-2</v>
      </c>
    </row>
    <row r="83" spans="1:33" ht="15" customHeight="1"/>
    <row r="84" spans="1:33" ht="15" customHeight="1">
      <c r="B84" s="178" t="s">
        <v>863</v>
      </c>
    </row>
    <row r="85" spans="1:33" ht="15" customHeight="1">
      <c r="A85" s="173" t="s">
        <v>904</v>
      </c>
      <c r="B85" s="179" t="s">
        <v>849</v>
      </c>
      <c r="C85" s="182">
        <v>1.622646</v>
      </c>
      <c r="D85" s="182">
        <v>1.7189650000000001</v>
      </c>
      <c r="E85" s="182">
        <v>1.6056889999999999</v>
      </c>
      <c r="F85" s="182">
        <v>1.64228</v>
      </c>
      <c r="G85" s="182">
        <v>1.6713359999999999</v>
      </c>
      <c r="H85" s="182">
        <v>1.725619</v>
      </c>
      <c r="I85" s="182">
        <v>1.805617</v>
      </c>
      <c r="J85" s="182">
        <v>1.9016169999999999</v>
      </c>
      <c r="K85" s="182">
        <v>1.981257</v>
      </c>
      <c r="L85" s="182">
        <v>2.0634350000000001</v>
      </c>
      <c r="M85" s="182">
        <v>2.182636</v>
      </c>
      <c r="N85" s="182">
        <v>2.258143</v>
      </c>
      <c r="O85" s="182">
        <v>2.3404699999999998</v>
      </c>
      <c r="P85" s="182">
        <v>2.4087649999999998</v>
      </c>
      <c r="Q85" s="182">
        <v>2.4730880000000002</v>
      </c>
      <c r="R85" s="182">
        <v>2.5435159999999999</v>
      </c>
      <c r="S85" s="182">
        <v>2.6206360000000002</v>
      </c>
      <c r="T85" s="182">
        <v>2.6983549999999998</v>
      </c>
      <c r="U85" s="182">
        <v>2.7674449999999999</v>
      </c>
      <c r="V85" s="182">
        <v>2.8635120000000001</v>
      </c>
      <c r="W85" s="182">
        <v>2.9480940000000002</v>
      </c>
      <c r="X85" s="182">
        <v>3.016518</v>
      </c>
      <c r="Y85" s="182">
        <v>3.107685</v>
      </c>
      <c r="Z85" s="182">
        <v>3.2055769999999999</v>
      </c>
      <c r="AA85" s="182">
        <v>3.281809</v>
      </c>
      <c r="AB85" s="182">
        <v>3.370565</v>
      </c>
      <c r="AC85" s="182">
        <v>3.4565350000000001</v>
      </c>
      <c r="AD85" s="182">
        <v>3.5400670000000001</v>
      </c>
      <c r="AE85" s="182">
        <v>3.6177260000000002</v>
      </c>
      <c r="AF85" s="182">
        <v>3.6966060000000001</v>
      </c>
      <c r="AG85" s="181">
        <v>2.8798000000000001E-2</v>
      </c>
    </row>
    <row r="86" spans="1:33" ht="15" customHeight="1">
      <c r="A86" s="173" t="s">
        <v>905</v>
      </c>
      <c r="B86" s="179" t="s">
        <v>866</v>
      </c>
      <c r="C86" s="182">
        <v>2.4437639999999998</v>
      </c>
      <c r="D86" s="182">
        <v>2.5021149999999999</v>
      </c>
      <c r="E86" s="182">
        <v>2.561229</v>
      </c>
      <c r="F86" s="182">
        <v>2.596498</v>
      </c>
      <c r="G86" s="182">
        <v>2.6264479999999999</v>
      </c>
      <c r="H86" s="182">
        <v>2.7209970000000001</v>
      </c>
      <c r="I86" s="182">
        <v>2.8259259999999999</v>
      </c>
      <c r="J86" s="182">
        <v>2.9326509999999999</v>
      </c>
      <c r="K86" s="182">
        <v>3.030545</v>
      </c>
      <c r="L86" s="182">
        <v>3.181978</v>
      </c>
      <c r="M86" s="182">
        <v>3.3436629999999998</v>
      </c>
      <c r="N86" s="182">
        <v>3.4622060000000001</v>
      </c>
      <c r="O86" s="182">
        <v>3.5597110000000001</v>
      </c>
      <c r="P86" s="182">
        <v>3.700364</v>
      </c>
      <c r="Q86" s="182">
        <v>3.804805</v>
      </c>
      <c r="R86" s="182">
        <v>3.894425</v>
      </c>
      <c r="S86" s="182">
        <v>3.9990209999999999</v>
      </c>
      <c r="T86" s="182">
        <v>4.1407030000000002</v>
      </c>
      <c r="U86" s="182">
        <v>4.2307889999999997</v>
      </c>
      <c r="V86" s="182">
        <v>4.3608060000000002</v>
      </c>
      <c r="W86" s="182">
        <v>4.4916780000000003</v>
      </c>
      <c r="X86" s="182">
        <v>4.5970579999999996</v>
      </c>
      <c r="Y86" s="182">
        <v>4.7482420000000003</v>
      </c>
      <c r="Z86" s="182">
        <v>4.9039250000000001</v>
      </c>
      <c r="AA86" s="182">
        <v>5.0322389999999997</v>
      </c>
      <c r="AB86" s="182">
        <v>5.1913369999999999</v>
      </c>
      <c r="AC86" s="182">
        <v>5.3278100000000004</v>
      </c>
      <c r="AD86" s="182">
        <v>5.4360280000000003</v>
      </c>
      <c r="AE86" s="182">
        <v>5.5660769999999999</v>
      </c>
      <c r="AF86" s="182">
        <v>5.6929499999999997</v>
      </c>
      <c r="AG86" s="181">
        <v>2.9590999999999999E-2</v>
      </c>
    </row>
    <row r="87" spans="1:33" ht="15" customHeight="1">
      <c r="A87" s="173" t="s">
        <v>906</v>
      </c>
      <c r="B87" s="179" t="s">
        <v>868</v>
      </c>
      <c r="C87" s="182">
        <v>1.4504239999999999</v>
      </c>
      <c r="D87" s="182">
        <v>1.4854400000000001</v>
      </c>
      <c r="E87" s="182">
        <v>1.554799</v>
      </c>
      <c r="F87" s="182">
        <v>1.6546620000000001</v>
      </c>
      <c r="G87" s="182">
        <v>1.587188</v>
      </c>
      <c r="H87" s="182">
        <v>1.72088</v>
      </c>
      <c r="I87" s="182">
        <v>1.796827</v>
      </c>
      <c r="J87" s="182">
        <v>1.8753070000000001</v>
      </c>
      <c r="K87" s="182">
        <v>1.955287</v>
      </c>
      <c r="L87" s="182">
        <v>2.035193</v>
      </c>
      <c r="M87" s="182">
        <v>2.1214490000000001</v>
      </c>
      <c r="N87" s="182">
        <v>2.1795019999999998</v>
      </c>
      <c r="O87" s="182">
        <v>2.1670340000000001</v>
      </c>
      <c r="P87" s="182">
        <v>2.2726799999999998</v>
      </c>
      <c r="Q87" s="182">
        <v>2.3320979999999998</v>
      </c>
      <c r="R87" s="182">
        <v>2.3006250000000001</v>
      </c>
      <c r="S87" s="182">
        <v>2.3046479999999998</v>
      </c>
      <c r="T87" s="182">
        <v>2.4473370000000001</v>
      </c>
      <c r="U87" s="182">
        <v>2.4599679999999999</v>
      </c>
      <c r="V87" s="182">
        <v>2.5128430000000002</v>
      </c>
      <c r="W87" s="182">
        <v>2.6048779999999998</v>
      </c>
      <c r="X87" s="182">
        <v>2.6326559999999999</v>
      </c>
      <c r="Y87" s="182">
        <v>2.665616</v>
      </c>
      <c r="Z87" s="182">
        <v>2.6922600000000001</v>
      </c>
      <c r="AA87" s="182">
        <v>2.7811430000000001</v>
      </c>
      <c r="AB87" s="182">
        <v>2.816157</v>
      </c>
      <c r="AC87" s="182">
        <v>2.9679139999999999</v>
      </c>
      <c r="AD87" s="182">
        <v>2.9097689999999998</v>
      </c>
      <c r="AE87" s="182">
        <v>3.010751</v>
      </c>
      <c r="AF87" s="182">
        <v>3.1156220000000001</v>
      </c>
      <c r="AG87" s="181">
        <v>2.6714999999999999E-2</v>
      </c>
    </row>
    <row r="88" spans="1:33" ht="15" customHeight="1">
      <c r="A88" s="173" t="s">
        <v>907</v>
      </c>
      <c r="B88" s="179" t="s">
        <v>870</v>
      </c>
      <c r="C88" s="182">
        <v>3.1092520000000001</v>
      </c>
      <c r="D88" s="182">
        <v>3.0532759999999999</v>
      </c>
      <c r="E88" s="182">
        <v>2.7805659999999999</v>
      </c>
      <c r="F88" s="182">
        <v>2.8246760000000002</v>
      </c>
      <c r="G88" s="182">
        <v>2.861936</v>
      </c>
      <c r="H88" s="182">
        <v>2.9624329999999999</v>
      </c>
      <c r="I88" s="182">
        <v>3.0731950000000001</v>
      </c>
      <c r="J88" s="182">
        <v>3.1838060000000001</v>
      </c>
      <c r="K88" s="182">
        <v>3.2850510000000002</v>
      </c>
      <c r="L88" s="182">
        <v>3.443886</v>
      </c>
      <c r="M88" s="182">
        <v>3.635373</v>
      </c>
      <c r="N88" s="182">
        <v>3.7530480000000002</v>
      </c>
      <c r="O88" s="182">
        <v>3.867057</v>
      </c>
      <c r="P88" s="182">
        <v>3.9831810000000001</v>
      </c>
      <c r="Q88" s="182">
        <v>4.0858239999999997</v>
      </c>
      <c r="R88" s="182">
        <v>4.2050689999999999</v>
      </c>
      <c r="S88" s="182">
        <v>4.3243790000000004</v>
      </c>
      <c r="T88" s="182">
        <v>4.4684410000000003</v>
      </c>
      <c r="U88" s="182">
        <v>4.5689330000000004</v>
      </c>
      <c r="V88" s="182">
        <v>4.7084770000000002</v>
      </c>
      <c r="W88" s="182">
        <v>4.8450730000000002</v>
      </c>
      <c r="X88" s="182">
        <v>4.9627179999999997</v>
      </c>
      <c r="Y88" s="182">
        <v>5.1260940000000002</v>
      </c>
      <c r="Z88" s="182">
        <v>5.2919520000000002</v>
      </c>
      <c r="AA88" s="182">
        <v>5.4287280000000004</v>
      </c>
      <c r="AB88" s="182">
        <v>5.5964489999999998</v>
      </c>
      <c r="AC88" s="182">
        <v>5.7407510000000004</v>
      </c>
      <c r="AD88" s="182">
        <v>5.8552850000000003</v>
      </c>
      <c r="AE88" s="182">
        <v>5.9922500000000003</v>
      </c>
      <c r="AF88" s="182">
        <v>6.127364</v>
      </c>
      <c r="AG88" s="181">
        <v>2.3668000000000002E-2</v>
      </c>
    </row>
    <row r="89" spans="1:33" ht="15" customHeight="1">
      <c r="A89" s="173" t="s">
        <v>908</v>
      </c>
      <c r="B89" s="179" t="s">
        <v>872</v>
      </c>
      <c r="C89" s="182">
        <v>1.9841310000000001</v>
      </c>
      <c r="D89" s="182">
        <v>2.1241590000000001</v>
      </c>
      <c r="E89" s="182">
        <v>2.018116</v>
      </c>
      <c r="F89" s="182">
        <v>2.2325300000000001</v>
      </c>
      <c r="G89" s="182">
        <v>2.2945579999999999</v>
      </c>
      <c r="H89" s="182">
        <v>2.3730410000000002</v>
      </c>
      <c r="I89" s="182">
        <v>2.4768469999999998</v>
      </c>
      <c r="J89" s="182">
        <v>2.58317</v>
      </c>
      <c r="K89" s="182">
        <v>2.673524</v>
      </c>
      <c r="L89" s="182">
        <v>2.7263060000000001</v>
      </c>
      <c r="M89" s="182">
        <v>2.8717670000000002</v>
      </c>
      <c r="N89" s="182">
        <v>2.96759</v>
      </c>
      <c r="O89" s="182">
        <v>3.0530379999999999</v>
      </c>
      <c r="P89" s="182">
        <v>3.1519159999999999</v>
      </c>
      <c r="Q89" s="182">
        <v>3.2425649999999999</v>
      </c>
      <c r="R89" s="182">
        <v>3.3516119999999998</v>
      </c>
      <c r="S89" s="182">
        <v>3.4756710000000002</v>
      </c>
      <c r="T89" s="182">
        <v>3.5886800000000001</v>
      </c>
      <c r="U89" s="182">
        <v>3.6891419999999999</v>
      </c>
      <c r="V89" s="182">
        <v>3.8116750000000001</v>
      </c>
      <c r="W89" s="182">
        <v>3.92828</v>
      </c>
      <c r="X89" s="182">
        <v>4.0267299999999997</v>
      </c>
      <c r="Y89" s="182">
        <v>4.1837299999999997</v>
      </c>
      <c r="Z89" s="182">
        <v>4.3498970000000003</v>
      </c>
      <c r="AA89" s="182">
        <v>4.4739680000000002</v>
      </c>
      <c r="AB89" s="182">
        <v>4.625934</v>
      </c>
      <c r="AC89" s="182">
        <v>4.7535280000000002</v>
      </c>
      <c r="AD89" s="182">
        <v>4.8551739999999999</v>
      </c>
      <c r="AE89" s="182">
        <v>4.9770799999999999</v>
      </c>
      <c r="AF89" s="182">
        <v>5.0759220000000003</v>
      </c>
      <c r="AG89" s="181">
        <v>3.2920999999999999E-2</v>
      </c>
    </row>
    <row r="90" spans="1:33" ht="15" customHeight="1">
      <c r="A90" s="173" t="s">
        <v>909</v>
      </c>
      <c r="B90" s="179" t="s">
        <v>874</v>
      </c>
      <c r="C90" s="182">
        <v>3.2566489999999999</v>
      </c>
      <c r="D90" s="182">
        <v>3.206385</v>
      </c>
      <c r="E90" s="182">
        <v>3.147907</v>
      </c>
      <c r="F90" s="182">
        <v>3.3339720000000002</v>
      </c>
      <c r="G90" s="182">
        <v>3.4103089999999998</v>
      </c>
      <c r="H90" s="182">
        <v>3.4897260000000001</v>
      </c>
      <c r="I90" s="182">
        <v>3.5883449999999999</v>
      </c>
      <c r="J90" s="182">
        <v>3.7074379999999998</v>
      </c>
      <c r="K90" s="182">
        <v>3.819785</v>
      </c>
      <c r="L90" s="182">
        <v>3.902895</v>
      </c>
      <c r="M90" s="182">
        <v>4.0989589999999998</v>
      </c>
      <c r="N90" s="182">
        <v>4.2070939999999997</v>
      </c>
      <c r="O90" s="182">
        <v>4.3239190000000001</v>
      </c>
      <c r="P90" s="182">
        <v>4.4277569999999997</v>
      </c>
      <c r="Q90" s="182">
        <v>4.5444240000000002</v>
      </c>
      <c r="R90" s="182">
        <v>4.6800280000000001</v>
      </c>
      <c r="S90" s="182">
        <v>4.8231729999999997</v>
      </c>
      <c r="T90" s="182">
        <v>4.9572370000000001</v>
      </c>
      <c r="U90" s="182">
        <v>5.085153</v>
      </c>
      <c r="V90" s="182">
        <v>5.2435770000000002</v>
      </c>
      <c r="W90" s="182">
        <v>5.3867960000000004</v>
      </c>
      <c r="X90" s="182">
        <v>5.5122439999999999</v>
      </c>
      <c r="Y90" s="182">
        <v>5.6973440000000002</v>
      </c>
      <c r="Z90" s="182">
        <v>5.8937999999999997</v>
      </c>
      <c r="AA90" s="182">
        <v>6.0519189999999998</v>
      </c>
      <c r="AB90" s="182">
        <v>6.2339979999999997</v>
      </c>
      <c r="AC90" s="182">
        <v>6.3906609999999997</v>
      </c>
      <c r="AD90" s="182">
        <v>6.5236929999999997</v>
      </c>
      <c r="AE90" s="182">
        <v>6.6672979999999997</v>
      </c>
      <c r="AF90" s="182">
        <v>6.8034720000000002</v>
      </c>
      <c r="AG90" s="181">
        <v>2.5729999999999999E-2</v>
      </c>
    </row>
    <row r="91" spans="1:33" ht="15" customHeight="1">
      <c r="A91" s="173" t="s">
        <v>910</v>
      </c>
      <c r="B91" s="179" t="s">
        <v>855</v>
      </c>
      <c r="C91" s="182">
        <v>1.8469249999999999</v>
      </c>
      <c r="D91" s="182">
        <v>1.5992040000000001</v>
      </c>
      <c r="E91" s="182">
        <v>2.0058389999999999</v>
      </c>
      <c r="F91" s="182">
        <v>2.1946629999999998</v>
      </c>
      <c r="G91" s="182">
        <v>2.2745340000000001</v>
      </c>
      <c r="H91" s="182">
        <v>2.3592409999999999</v>
      </c>
      <c r="I91" s="182">
        <v>2.4788030000000001</v>
      </c>
      <c r="J91" s="182">
        <v>2.5726640000000001</v>
      </c>
      <c r="K91" s="182">
        <v>2.6536369999999998</v>
      </c>
      <c r="L91" s="182">
        <v>2.737657</v>
      </c>
      <c r="M91" s="182">
        <v>2.8437079999999999</v>
      </c>
      <c r="N91" s="182">
        <v>2.927702</v>
      </c>
      <c r="O91" s="182">
        <v>3.0181990000000001</v>
      </c>
      <c r="P91" s="182">
        <v>3.0884230000000001</v>
      </c>
      <c r="Q91" s="182">
        <v>3.1638269999999999</v>
      </c>
      <c r="R91" s="182">
        <v>3.2306339999999998</v>
      </c>
      <c r="S91" s="182">
        <v>3.309485</v>
      </c>
      <c r="T91" s="182">
        <v>3.4247269999999999</v>
      </c>
      <c r="U91" s="182">
        <v>3.4888910000000002</v>
      </c>
      <c r="V91" s="182">
        <v>3.6431629999999999</v>
      </c>
      <c r="W91" s="182">
        <v>3.7565919999999999</v>
      </c>
      <c r="X91" s="182">
        <v>3.8626900000000002</v>
      </c>
      <c r="Y91" s="182">
        <v>4.0265050000000002</v>
      </c>
      <c r="Z91" s="182">
        <v>4.1729950000000002</v>
      </c>
      <c r="AA91" s="182">
        <v>4.2922799999999999</v>
      </c>
      <c r="AB91" s="182">
        <v>4.4296559999999996</v>
      </c>
      <c r="AC91" s="182">
        <v>4.5452260000000004</v>
      </c>
      <c r="AD91" s="182">
        <v>4.6411530000000001</v>
      </c>
      <c r="AE91" s="182">
        <v>4.7570300000000003</v>
      </c>
      <c r="AF91" s="182">
        <v>4.8549150000000001</v>
      </c>
      <c r="AG91" s="181">
        <v>3.3888000000000001E-2</v>
      </c>
    </row>
    <row r="93" spans="1:33" ht="15" customHeight="1">
      <c r="B93" s="178" t="s">
        <v>877</v>
      </c>
    </row>
    <row r="94" spans="1:33" ht="15" customHeight="1">
      <c r="A94" s="173" t="s">
        <v>911</v>
      </c>
      <c r="B94" s="179" t="s">
        <v>851</v>
      </c>
      <c r="C94" s="182">
        <v>2.9822760000000001</v>
      </c>
      <c r="D94" s="182">
        <v>3.0971150000000001</v>
      </c>
      <c r="E94" s="182">
        <v>2.91811</v>
      </c>
      <c r="F94" s="182">
        <v>3.0539070000000001</v>
      </c>
      <c r="G94" s="182">
        <v>3.0277159999999999</v>
      </c>
      <c r="H94" s="182">
        <v>3.003196</v>
      </c>
      <c r="I94" s="182">
        <v>3.0061149999999999</v>
      </c>
      <c r="J94" s="182">
        <v>3.1154470000000001</v>
      </c>
      <c r="K94" s="182">
        <v>3.2146240000000001</v>
      </c>
      <c r="L94" s="182">
        <v>3.2915649999999999</v>
      </c>
      <c r="M94" s="182">
        <v>3.3999830000000002</v>
      </c>
      <c r="N94" s="182">
        <v>3.4987590000000002</v>
      </c>
      <c r="O94" s="182">
        <v>3.5833970000000002</v>
      </c>
      <c r="P94" s="182">
        <v>3.6861280000000001</v>
      </c>
      <c r="Q94" s="182">
        <v>3.7861910000000001</v>
      </c>
      <c r="R94" s="182">
        <v>3.90578</v>
      </c>
      <c r="S94" s="182">
        <v>4.0331250000000001</v>
      </c>
      <c r="T94" s="182">
        <v>4.142811</v>
      </c>
      <c r="U94" s="182">
        <v>4.2484669999999998</v>
      </c>
      <c r="V94" s="182">
        <v>4.3904899999999998</v>
      </c>
      <c r="W94" s="182">
        <v>4.5091239999999999</v>
      </c>
      <c r="X94" s="182">
        <v>4.6198259999999998</v>
      </c>
      <c r="Y94" s="182">
        <v>4.7780839999999998</v>
      </c>
      <c r="Z94" s="182">
        <v>4.9497499999999999</v>
      </c>
      <c r="AA94" s="182">
        <v>5.0864149999999997</v>
      </c>
      <c r="AB94" s="182">
        <v>5.2607280000000003</v>
      </c>
      <c r="AC94" s="182">
        <v>5.3970690000000001</v>
      </c>
      <c r="AD94" s="182">
        <v>5.5069100000000004</v>
      </c>
      <c r="AE94" s="182">
        <v>5.6310659999999997</v>
      </c>
      <c r="AF94" s="182">
        <v>5.7451140000000001</v>
      </c>
      <c r="AG94" s="181">
        <v>2.2866999999999998E-2</v>
      </c>
    </row>
    <row r="95" spans="1:33" ht="15" customHeight="1">
      <c r="A95" s="173" t="s">
        <v>912</v>
      </c>
      <c r="B95" s="179" t="s">
        <v>855</v>
      </c>
      <c r="C95" s="182">
        <v>1.943667</v>
      </c>
      <c r="D95" s="182">
        <v>2.0447389999999999</v>
      </c>
      <c r="E95" s="182">
        <v>1.9989710000000001</v>
      </c>
      <c r="F95" s="182">
        <v>2.1905429999999999</v>
      </c>
      <c r="G95" s="182">
        <v>2.2749969999999999</v>
      </c>
      <c r="H95" s="182">
        <v>2.360414</v>
      </c>
      <c r="I95" s="182">
        <v>2.492645</v>
      </c>
      <c r="J95" s="182">
        <v>2.5842019999999999</v>
      </c>
      <c r="K95" s="182">
        <v>2.664663</v>
      </c>
      <c r="L95" s="182">
        <v>2.7435900000000002</v>
      </c>
      <c r="M95" s="182">
        <v>2.8598759999999999</v>
      </c>
      <c r="N95" s="182">
        <v>2.9413629999999999</v>
      </c>
      <c r="O95" s="182">
        <v>3.0331790000000001</v>
      </c>
      <c r="P95" s="182">
        <v>3.1062379999999998</v>
      </c>
      <c r="Q95" s="182">
        <v>3.1831489999999998</v>
      </c>
      <c r="R95" s="182">
        <v>3.2496749999999999</v>
      </c>
      <c r="S95" s="182">
        <v>3.3316849999999998</v>
      </c>
      <c r="T95" s="182">
        <v>3.4432849999999999</v>
      </c>
      <c r="U95" s="182">
        <v>3.515679</v>
      </c>
      <c r="V95" s="182">
        <v>3.6453350000000002</v>
      </c>
      <c r="W95" s="182">
        <v>3.7369140000000001</v>
      </c>
      <c r="X95" s="182">
        <v>3.808675</v>
      </c>
      <c r="Y95" s="182">
        <v>3.9298730000000002</v>
      </c>
      <c r="Z95" s="182">
        <v>4.0225629999999999</v>
      </c>
      <c r="AA95" s="182">
        <v>4.0668569999999997</v>
      </c>
      <c r="AB95" s="182">
        <v>4.2185430000000004</v>
      </c>
      <c r="AC95" s="182">
        <v>4.3377319999999999</v>
      </c>
      <c r="AD95" s="182">
        <v>4.4473919999999998</v>
      </c>
      <c r="AE95" s="182">
        <v>4.5653420000000002</v>
      </c>
      <c r="AF95" s="182">
        <v>4.6682949999999996</v>
      </c>
      <c r="AG95" s="181">
        <v>3.0675999999999998E-2</v>
      </c>
    </row>
    <row r="96" spans="1:33" ht="15" customHeight="1"/>
    <row r="97" spans="1:33" ht="15" customHeight="1">
      <c r="B97" s="178" t="s">
        <v>913</v>
      </c>
    </row>
    <row r="98" spans="1:33" ht="15" customHeight="1">
      <c r="A98" s="173" t="s">
        <v>914</v>
      </c>
      <c r="B98" s="179" t="s">
        <v>849</v>
      </c>
      <c r="C98" s="182">
        <v>1.7823880000000001</v>
      </c>
      <c r="D98" s="182">
        <v>2.0011770000000002</v>
      </c>
      <c r="E98" s="182">
        <v>1.9240569999999999</v>
      </c>
      <c r="F98" s="182">
        <v>1.9675050000000001</v>
      </c>
      <c r="G98" s="182">
        <v>2.004718</v>
      </c>
      <c r="H98" s="182">
        <v>2.063593</v>
      </c>
      <c r="I98" s="182">
        <v>2.1503260000000002</v>
      </c>
      <c r="J98" s="182">
        <v>2.25976</v>
      </c>
      <c r="K98" s="182">
        <v>2.3607420000000001</v>
      </c>
      <c r="L98" s="182">
        <v>2.4645929999999998</v>
      </c>
      <c r="M98" s="182">
        <v>2.5872639999999998</v>
      </c>
      <c r="N98" s="182">
        <v>2.6847940000000001</v>
      </c>
      <c r="O98" s="182">
        <v>2.7861310000000001</v>
      </c>
      <c r="P98" s="182">
        <v>2.8763480000000001</v>
      </c>
      <c r="Q98" s="182">
        <v>2.9603030000000001</v>
      </c>
      <c r="R98" s="182">
        <v>3.0478710000000002</v>
      </c>
      <c r="S98" s="182">
        <v>3.1414960000000001</v>
      </c>
      <c r="T98" s="182">
        <v>3.2369590000000001</v>
      </c>
      <c r="U98" s="182">
        <v>3.3243179999999999</v>
      </c>
      <c r="V98" s="182">
        <v>3.4374889999999998</v>
      </c>
      <c r="W98" s="182">
        <v>3.543892</v>
      </c>
      <c r="X98" s="182">
        <v>3.6338339999999998</v>
      </c>
      <c r="Y98" s="182">
        <v>3.7427000000000001</v>
      </c>
      <c r="Z98" s="182">
        <v>3.8607830000000001</v>
      </c>
      <c r="AA98" s="182">
        <v>3.959438</v>
      </c>
      <c r="AB98" s="182">
        <v>4.0672790000000001</v>
      </c>
      <c r="AC98" s="182">
        <v>4.1729789999999998</v>
      </c>
      <c r="AD98" s="182">
        <v>4.2757360000000002</v>
      </c>
      <c r="AE98" s="182">
        <v>4.3714230000000001</v>
      </c>
      <c r="AF98" s="182">
        <v>4.4658990000000003</v>
      </c>
      <c r="AG98" s="181">
        <v>3.218E-2</v>
      </c>
    </row>
    <row r="99" spans="1:33" ht="15" customHeight="1">
      <c r="A99" s="173" t="s">
        <v>915</v>
      </c>
      <c r="B99" s="179" t="s">
        <v>870</v>
      </c>
      <c r="C99" s="182">
        <v>3.1081029999999998</v>
      </c>
      <c r="D99" s="182">
        <v>3.0526659999999999</v>
      </c>
      <c r="E99" s="182">
        <v>2.7837360000000002</v>
      </c>
      <c r="F99" s="182">
        <v>2.8293469999999998</v>
      </c>
      <c r="G99" s="182">
        <v>2.8664320000000001</v>
      </c>
      <c r="H99" s="182">
        <v>2.9656400000000001</v>
      </c>
      <c r="I99" s="182">
        <v>3.0744579999999999</v>
      </c>
      <c r="J99" s="182">
        <v>3.1851210000000001</v>
      </c>
      <c r="K99" s="182">
        <v>3.286413</v>
      </c>
      <c r="L99" s="182">
        <v>3.4452759999999998</v>
      </c>
      <c r="M99" s="182">
        <v>3.636428</v>
      </c>
      <c r="N99" s="182">
        <v>3.7541229999999999</v>
      </c>
      <c r="O99" s="182">
        <v>3.8681160000000001</v>
      </c>
      <c r="P99" s="182">
        <v>3.984267</v>
      </c>
      <c r="Q99" s="182">
        <v>4.0869559999999998</v>
      </c>
      <c r="R99" s="182">
        <v>4.206232</v>
      </c>
      <c r="S99" s="182">
        <v>4.3255809999999997</v>
      </c>
      <c r="T99" s="182">
        <v>4.4696939999999996</v>
      </c>
      <c r="U99" s="182">
        <v>4.5702360000000004</v>
      </c>
      <c r="V99" s="182">
        <v>4.709835</v>
      </c>
      <c r="W99" s="182">
        <v>4.8464919999999996</v>
      </c>
      <c r="X99" s="182">
        <v>4.9642010000000001</v>
      </c>
      <c r="Y99" s="182">
        <v>5.1276460000000004</v>
      </c>
      <c r="Z99" s="182">
        <v>5.2935530000000002</v>
      </c>
      <c r="AA99" s="182">
        <v>5.4304050000000004</v>
      </c>
      <c r="AB99" s="182">
        <v>5.5981800000000002</v>
      </c>
      <c r="AC99" s="182">
        <v>5.7425499999999996</v>
      </c>
      <c r="AD99" s="182">
        <v>5.8571479999999996</v>
      </c>
      <c r="AE99" s="182">
        <v>5.9941750000000003</v>
      </c>
      <c r="AF99" s="182">
        <v>6.1293749999999996</v>
      </c>
      <c r="AG99" s="181">
        <v>2.3692999999999999E-2</v>
      </c>
    </row>
    <row r="100" spans="1:33" ht="15" customHeight="1">
      <c r="A100" s="173" t="s">
        <v>916</v>
      </c>
      <c r="B100" s="179" t="s">
        <v>872</v>
      </c>
      <c r="C100" s="182">
        <v>1.9841310000000001</v>
      </c>
      <c r="D100" s="182">
        <v>2.1241590000000001</v>
      </c>
      <c r="E100" s="182">
        <v>2.018116</v>
      </c>
      <c r="F100" s="182">
        <v>2.2325300000000001</v>
      </c>
      <c r="G100" s="182">
        <v>2.2945579999999999</v>
      </c>
      <c r="H100" s="182">
        <v>2.3730410000000002</v>
      </c>
      <c r="I100" s="182">
        <v>2.4768469999999998</v>
      </c>
      <c r="J100" s="182">
        <v>2.58317</v>
      </c>
      <c r="K100" s="182">
        <v>2.673524</v>
      </c>
      <c r="L100" s="182">
        <v>2.7263060000000001</v>
      </c>
      <c r="M100" s="182">
        <v>2.8717670000000002</v>
      </c>
      <c r="N100" s="182">
        <v>2.96759</v>
      </c>
      <c r="O100" s="182">
        <v>3.0530379999999999</v>
      </c>
      <c r="P100" s="182">
        <v>3.1519159999999999</v>
      </c>
      <c r="Q100" s="182">
        <v>3.2425649999999999</v>
      </c>
      <c r="R100" s="182">
        <v>3.3516119999999998</v>
      </c>
      <c r="S100" s="182">
        <v>3.4756710000000002</v>
      </c>
      <c r="T100" s="182">
        <v>3.5886800000000001</v>
      </c>
      <c r="U100" s="182">
        <v>3.6891419999999999</v>
      </c>
      <c r="V100" s="182">
        <v>3.8116750000000001</v>
      </c>
      <c r="W100" s="182">
        <v>3.92828</v>
      </c>
      <c r="X100" s="182">
        <v>4.0267299999999997</v>
      </c>
      <c r="Y100" s="182">
        <v>4.1837299999999997</v>
      </c>
      <c r="Z100" s="182">
        <v>4.3498970000000003</v>
      </c>
      <c r="AA100" s="182">
        <v>4.4739680000000002</v>
      </c>
      <c r="AB100" s="182">
        <v>4.625934</v>
      </c>
      <c r="AC100" s="182">
        <v>4.7535280000000002</v>
      </c>
      <c r="AD100" s="182">
        <v>4.8551739999999999</v>
      </c>
      <c r="AE100" s="182">
        <v>4.9770799999999999</v>
      </c>
      <c r="AF100" s="182">
        <v>5.0759220000000003</v>
      </c>
      <c r="AG100" s="181">
        <v>3.2920999999999999E-2</v>
      </c>
    </row>
    <row r="101" spans="1:33">
      <c r="A101" s="173" t="s">
        <v>917</v>
      </c>
      <c r="B101" s="179" t="s">
        <v>851</v>
      </c>
      <c r="C101" s="182">
        <v>3.1917279999999999</v>
      </c>
      <c r="D101" s="182">
        <v>3.1799539999999999</v>
      </c>
      <c r="E101" s="182">
        <v>3.1085829999999999</v>
      </c>
      <c r="F101" s="182">
        <v>3.2866379999999999</v>
      </c>
      <c r="G101" s="182">
        <v>3.3490829999999998</v>
      </c>
      <c r="H101" s="182">
        <v>3.4152610000000001</v>
      </c>
      <c r="I101" s="182">
        <v>3.50075</v>
      </c>
      <c r="J101" s="182">
        <v>3.617934</v>
      </c>
      <c r="K101" s="182">
        <v>3.7255880000000001</v>
      </c>
      <c r="L101" s="182">
        <v>3.8059340000000002</v>
      </c>
      <c r="M101" s="182">
        <v>3.9852340000000002</v>
      </c>
      <c r="N101" s="182">
        <v>4.0897009999999998</v>
      </c>
      <c r="O101" s="182">
        <v>4.200717</v>
      </c>
      <c r="P101" s="182">
        <v>4.3007600000000004</v>
      </c>
      <c r="Q101" s="182">
        <v>4.4132360000000004</v>
      </c>
      <c r="R101" s="182">
        <v>4.5429110000000001</v>
      </c>
      <c r="S101" s="182">
        <v>4.6861550000000003</v>
      </c>
      <c r="T101" s="182">
        <v>4.8160530000000001</v>
      </c>
      <c r="U101" s="182">
        <v>4.937392</v>
      </c>
      <c r="V101" s="182">
        <v>5.0912199999999999</v>
      </c>
      <c r="W101" s="182">
        <v>5.229317</v>
      </c>
      <c r="X101" s="182">
        <v>5.3512320000000004</v>
      </c>
      <c r="Y101" s="182">
        <v>5.5315750000000001</v>
      </c>
      <c r="Z101" s="182">
        <v>5.721857</v>
      </c>
      <c r="AA101" s="182">
        <v>5.8766870000000004</v>
      </c>
      <c r="AB101" s="182">
        <v>6.0545020000000003</v>
      </c>
      <c r="AC101" s="182">
        <v>6.2042460000000004</v>
      </c>
      <c r="AD101" s="182">
        <v>6.3326279999999997</v>
      </c>
      <c r="AE101" s="182">
        <v>6.470853</v>
      </c>
      <c r="AF101" s="182">
        <v>6.5986229999999999</v>
      </c>
      <c r="AG101" s="181">
        <v>2.5361000000000002E-2</v>
      </c>
    </row>
    <row r="102" spans="1:33">
      <c r="A102" s="173" t="s">
        <v>918</v>
      </c>
      <c r="B102" s="179" t="s">
        <v>919</v>
      </c>
      <c r="C102" s="180">
        <v>75.529373000000007</v>
      </c>
      <c r="D102" s="180">
        <v>67.341308999999995</v>
      </c>
      <c r="E102" s="180">
        <v>82.432158999999999</v>
      </c>
      <c r="F102" s="180">
        <v>90.664023999999998</v>
      </c>
      <c r="G102" s="180">
        <v>94.250336000000004</v>
      </c>
      <c r="H102" s="180">
        <v>98.002944999999997</v>
      </c>
      <c r="I102" s="180">
        <v>103.275398</v>
      </c>
      <c r="J102" s="180">
        <v>107.16776299999999</v>
      </c>
      <c r="K102" s="180">
        <v>110.512619</v>
      </c>
      <c r="L102" s="180">
        <v>113.991776</v>
      </c>
      <c r="M102" s="180">
        <v>118.415207</v>
      </c>
      <c r="N102" s="180">
        <v>121.90877500000001</v>
      </c>
      <c r="O102" s="180">
        <v>125.655045</v>
      </c>
      <c r="P102" s="180">
        <v>128.56744399999999</v>
      </c>
      <c r="Q102" s="180">
        <v>131.69477800000001</v>
      </c>
      <c r="R102" s="180">
        <v>134.42761200000001</v>
      </c>
      <c r="S102" s="180">
        <v>137.63621499999999</v>
      </c>
      <c r="T102" s="180">
        <v>142.45193499999999</v>
      </c>
      <c r="U102" s="180">
        <v>145.026352</v>
      </c>
      <c r="V102" s="180">
        <v>151.56158400000001</v>
      </c>
      <c r="W102" s="180">
        <v>156.26426699999999</v>
      </c>
      <c r="X102" s="180">
        <v>160.65982099999999</v>
      </c>
      <c r="Y102" s="180">
        <v>167.479141</v>
      </c>
      <c r="Z102" s="180">
        <v>173.55737300000001</v>
      </c>
      <c r="AA102" s="180">
        <v>178.430115</v>
      </c>
      <c r="AB102" s="180">
        <v>184.18533300000001</v>
      </c>
      <c r="AC102" s="180">
        <v>189.01692199999999</v>
      </c>
      <c r="AD102" s="180">
        <v>193.00422699999999</v>
      </c>
      <c r="AE102" s="180">
        <v>197.81706199999999</v>
      </c>
      <c r="AF102" s="180">
        <v>201.85968</v>
      </c>
      <c r="AG102" s="181">
        <v>3.4479000000000003E-2</v>
      </c>
    </row>
    <row r="103" spans="1:33" ht="15" customHeight="1">
      <c r="A103" s="173" t="s">
        <v>920</v>
      </c>
      <c r="B103" s="178" t="s">
        <v>889</v>
      </c>
      <c r="C103" s="188">
        <v>2.540254</v>
      </c>
      <c r="D103" s="188">
        <v>2.5029509999999999</v>
      </c>
      <c r="E103" s="188">
        <v>2.3378930000000002</v>
      </c>
      <c r="F103" s="188">
        <v>2.4137960000000001</v>
      </c>
      <c r="G103" s="188">
        <v>2.4398149999999998</v>
      </c>
      <c r="H103" s="188">
        <v>2.4990009999999998</v>
      </c>
      <c r="I103" s="188">
        <v>2.5762990000000001</v>
      </c>
      <c r="J103" s="188">
        <v>2.6645219999999998</v>
      </c>
      <c r="K103" s="188">
        <v>2.7446999999999999</v>
      </c>
      <c r="L103" s="188">
        <v>2.8438530000000002</v>
      </c>
      <c r="M103" s="188">
        <v>2.9790169999999998</v>
      </c>
      <c r="N103" s="188">
        <v>3.0709119999999999</v>
      </c>
      <c r="O103" s="188">
        <v>3.1640839999999999</v>
      </c>
      <c r="P103" s="188">
        <v>3.2497159999999998</v>
      </c>
      <c r="Q103" s="188">
        <v>3.3338890000000001</v>
      </c>
      <c r="R103" s="188">
        <v>3.4322330000000001</v>
      </c>
      <c r="S103" s="188">
        <v>3.534424</v>
      </c>
      <c r="T103" s="188">
        <v>3.6466219999999998</v>
      </c>
      <c r="U103" s="188">
        <v>3.728815</v>
      </c>
      <c r="V103" s="188">
        <v>3.8449450000000001</v>
      </c>
      <c r="W103" s="188">
        <v>3.9513099999999999</v>
      </c>
      <c r="X103" s="188">
        <v>4.0451959999999998</v>
      </c>
      <c r="Y103" s="188">
        <v>4.1858500000000003</v>
      </c>
      <c r="Z103" s="188">
        <v>4.3257199999999996</v>
      </c>
      <c r="AA103" s="188">
        <v>4.436896</v>
      </c>
      <c r="AB103" s="188">
        <v>4.5764810000000002</v>
      </c>
      <c r="AC103" s="188">
        <v>4.6969760000000003</v>
      </c>
      <c r="AD103" s="188">
        <v>4.8007520000000001</v>
      </c>
      <c r="AE103" s="188">
        <v>4.9125870000000003</v>
      </c>
      <c r="AF103" s="188">
        <v>5.0205929999999999</v>
      </c>
      <c r="AG103" s="189">
        <v>2.3771E-2</v>
      </c>
    </row>
    <row r="104" spans="1:33" ht="15" customHeight="1" thickBot="1"/>
    <row r="105" spans="1:33" ht="15" customHeight="1">
      <c r="B105" s="190" t="s">
        <v>921</v>
      </c>
    </row>
    <row r="106" spans="1:33" ht="15" customHeight="1">
      <c r="B106" s="191" t="s">
        <v>922</v>
      </c>
    </row>
    <row r="107" spans="1:33" ht="15" customHeight="1">
      <c r="B107" s="191" t="s">
        <v>923</v>
      </c>
    </row>
    <row r="108" spans="1:33" ht="15" customHeight="1">
      <c r="B108" s="191" t="s">
        <v>924</v>
      </c>
    </row>
    <row r="109" spans="1:33" ht="15" customHeight="1">
      <c r="B109" s="191" t="s">
        <v>925</v>
      </c>
    </row>
    <row r="110" spans="1:33" ht="15" customHeight="1">
      <c r="B110" s="191" t="s">
        <v>926</v>
      </c>
    </row>
    <row r="111" spans="1:33" ht="15" customHeight="1">
      <c r="B111" s="191" t="s">
        <v>927</v>
      </c>
    </row>
    <row r="112" spans="1:33" ht="15" customHeight="1">
      <c r="B112" s="625" t="s">
        <v>928</v>
      </c>
      <c r="C112" s="626"/>
      <c r="D112" s="626"/>
      <c r="E112" s="626"/>
      <c r="F112" s="626"/>
      <c r="G112" s="626"/>
      <c r="H112" s="626"/>
      <c r="I112" s="626"/>
      <c r="J112" s="626"/>
      <c r="K112" s="626"/>
      <c r="L112" s="626"/>
      <c r="M112" s="626"/>
      <c r="N112" s="626"/>
      <c r="O112" s="626"/>
      <c r="P112" s="626"/>
      <c r="Q112" s="626"/>
      <c r="R112" s="626"/>
      <c r="S112" s="626"/>
      <c r="T112" s="626"/>
      <c r="U112" s="626"/>
      <c r="V112" s="626"/>
      <c r="W112" s="626"/>
      <c r="X112" s="626"/>
      <c r="Y112" s="626"/>
      <c r="Z112" s="626"/>
      <c r="AA112" s="626"/>
      <c r="AB112" s="626"/>
      <c r="AC112" s="626"/>
      <c r="AD112" s="626"/>
      <c r="AE112" s="626"/>
      <c r="AF112" s="626"/>
      <c r="AG112" s="626"/>
    </row>
    <row r="113" spans="2:33" ht="15" customHeight="1">
      <c r="B113" s="191" t="s">
        <v>929</v>
      </c>
    </row>
    <row r="114" spans="2:33" ht="15" customHeight="1">
      <c r="B114" s="191" t="s">
        <v>930</v>
      </c>
    </row>
    <row r="115" spans="2:33" ht="15" customHeight="1">
      <c r="B115" s="191" t="s">
        <v>931</v>
      </c>
    </row>
    <row r="116" spans="2:33" ht="15" customHeight="1"/>
    <row r="117" spans="2:33" ht="15" customHeight="1" thickBot="1">
      <c r="B117" s="167" t="s">
        <v>835</v>
      </c>
      <c r="C117" s="167">
        <v>2021</v>
      </c>
      <c r="D117" s="167">
        <v>2022</v>
      </c>
      <c r="E117" s="167">
        <v>2023</v>
      </c>
      <c r="F117" s="167">
        <v>2024</v>
      </c>
      <c r="G117" s="167">
        <v>2025</v>
      </c>
      <c r="H117" s="167">
        <v>2026</v>
      </c>
      <c r="I117" s="167">
        <v>2027</v>
      </c>
      <c r="J117" s="167">
        <v>2028</v>
      </c>
      <c r="K117" s="167">
        <v>2029</v>
      </c>
      <c r="L117" s="167">
        <v>2030</v>
      </c>
      <c r="M117" s="167">
        <v>2031</v>
      </c>
      <c r="N117" s="167">
        <v>2032</v>
      </c>
      <c r="O117" s="167">
        <v>2033</v>
      </c>
      <c r="P117" s="167">
        <v>2034</v>
      </c>
      <c r="Q117" s="167">
        <v>2035</v>
      </c>
      <c r="R117" s="167">
        <v>2036</v>
      </c>
      <c r="S117" s="167">
        <v>2037</v>
      </c>
      <c r="T117" s="167">
        <v>2038</v>
      </c>
      <c r="U117" s="167">
        <v>2039</v>
      </c>
      <c r="V117" s="167">
        <v>2040</v>
      </c>
      <c r="W117" s="167">
        <v>2041</v>
      </c>
      <c r="X117" s="167">
        <v>2042</v>
      </c>
      <c r="Y117" s="167">
        <v>2043</v>
      </c>
      <c r="Z117" s="167">
        <v>2044</v>
      </c>
      <c r="AA117" s="167">
        <v>2045</v>
      </c>
      <c r="AB117" s="167">
        <v>2046</v>
      </c>
      <c r="AC117" s="167">
        <v>2047</v>
      </c>
      <c r="AD117" s="167">
        <v>2048</v>
      </c>
      <c r="AE117" s="167">
        <v>2049</v>
      </c>
      <c r="AF117" s="167">
        <v>2050</v>
      </c>
      <c r="AG117" s="177" t="s">
        <v>836</v>
      </c>
    </row>
    <row r="118" spans="2:33" ht="15" customHeight="1" thickTop="1">
      <c r="B118" s="191" t="s">
        <v>932</v>
      </c>
    </row>
    <row r="119" spans="2:33" ht="15" customHeight="1">
      <c r="B119" s="184" t="s">
        <v>933</v>
      </c>
      <c r="D119" s="192">
        <f>(D42-C42)/C42</f>
        <v>-4.1151376601189039E-2</v>
      </c>
      <c r="E119" s="192">
        <f>(E42-D42)/D42</f>
        <v>-0.10522348960286473</v>
      </c>
      <c r="F119" s="192">
        <f t="shared" ref="F119:AF120" si="0">(F42-E42)/E42</f>
        <v>-6.6261833206566079E-3</v>
      </c>
      <c r="G119" s="192">
        <f t="shared" si="0"/>
        <v>-1.031199774484012E-2</v>
      </c>
      <c r="H119" s="192">
        <f t="shared" si="0"/>
        <v>1.0334412797696452E-2</v>
      </c>
      <c r="I119" s="192">
        <f t="shared" si="0"/>
        <v>1.1731139374268743E-2</v>
      </c>
      <c r="J119" s="192">
        <f t="shared" si="0"/>
        <v>1.0589439507248655E-2</v>
      </c>
      <c r="K119" s="192">
        <f t="shared" si="0"/>
        <v>7.285251730048764E-3</v>
      </c>
      <c r="L119" s="192">
        <f t="shared" si="0"/>
        <v>2.4489273918624717E-2</v>
      </c>
      <c r="M119" s="192">
        <f t="shared" si="0"/>
        <v>3.1803409332348001E-2</v>
      </c>
      <c r="N119" s="192">
        <f t="shared" si="0"/>
        <v>9.9318739314135096E-3</v>
      </c>
      <c r="O119" s="192">
        <f t="shared" si="0"/>
        <v>8.064732046317219E-3</v>
      </c>
      <c r="P119" s="192">
        <f t="shared" si="0"/>
        <v>7.5326963354974746E-3</v>
      </c>
      <c r="Q119" s="192">
        <f t="shared" si="0"/>
        <v>3.5462275243088128E-3</v>
      </c>
      <c r="R119" s="192">
        <f t="shared" si="0"/>
        <v>6.9380739351763195E-3</v>
      </c>
      <c r="S119" s="192">
        <f t="shared" si="0"/>
        <v>6.0966269723151225E-3</v>
      </c>
      <c r="T119" s="192">
        <f t="shared" si="0"/>
        <v>1.0796335269458029E-2</v>
      </c>
      <c r="U119" s="192">
        <f t="shared" si="0"/>
        <v>3.6044082965848754E-4</v>
      </c>
      <c r="V119" s="192">
        <f t="shared" si="0"/>
        <v>7.6825791952639475E-3</v>
      </c>
      <c r="W119" s="192">
        <f t="shared" si="0"/>
        <v>6.1895101961185282E-3</v>
      </c>
      <c r="X119" s="192">
        <f t="shared" si="0"/>
        <v>1.4480451390622203E-3</v>
      </c>
      <c r="Y119" s="192">
        <f t="shared" si="0"/>
        <v>9.7778169178249687E-3</v>
      </c>
      <c r="Z119" s="192">
        <f t="shared" si="0"/>
        <v>9.3102400135434884E-3</v>
      </c>
      <c r="AA119" s="192">
        <f t="shared" si="0"/>
        <v>3.0598555654141996E-3</v>
      </c>
      <c r="AB119" s="192">
        <f t="shared" si="0"/>
        <v>7.8619335023069684E-3</v>
      </c>
      <c r="AC119" s="192">
        <f t="shared" si="0"/>
        <v>2.9352826886825051E-3</v>
      </c>
      <c r="AD119" s="192">
        <f t="shared" si="0"/>
        <v>-2.831443719847095E-3</v>
      </c>
      <c r="AE119" s="192">
        <f t="shared" si="0"/>
        <v>4.468015512999544E-4</v>
      </c>
      <c r="AF119" s="192">
        <f t="shared" si="0"/>
        <v>-3.3981953133164512E-4</v>
      </c>
    </row>
    <row r="120" spans="2:33" ht="15" customHeight="1">
      <c r="B120" s="184" t="s">
        <v>934</v>
      </c>
      <c r="D120" s="192">
        <f>(D43-C43)/C43</f>
        <v>4.5337732236429916E-2</v>
      </c>
      <c r="E120" s="192">
        <f>(E43-D43)/D43</f>
        <v>-6.6516978313831535E-2</v>
      </c>
      <c r="F120" s="192">
        <f t="shared" si="0"/>
        <v>8.1753502485634857E-2</v>
      </c>
      <c r="G120" s="192">
        <f t="shared" si="0"/>
        <v>3.9428765141496167E-3</v>
      </c>
      <c r="H120" s="192">
        <f t="shared" si="0"/>
        <v>9.4451430278103769E-3</v>
      </c>
      <c r="I120" s="192">
        <f t="shared" si="0"/>
        <v>1.7929092101494043E-2</v>
      </c>
      <c r="J120" s="192">
        <f t="shared" si="0"/>
        <v>1.7353649454799995E-2</v>
      </c>
      <c r="K120" s="192">
        <f t="shared" si="0"/>
        <v>1.0388171115024642E-2</v>
      </c>
      <c r="L120" s="192">
        <f t="shared" si="0"/>
        <v>-3.468396527371082E-3</v>
      </c>
      <c r="M120" s="192">
        <f t="shared" si="0"/>
        <v>2.960679701139712E-2</v>
      </c>
      <c r="N120" s="192">
        <f t="shared" si="0"/>
        <v>1.0907811091597249E-2</v>
      </c>
      <c r="O120" s="192">
        <f t="shared" si="0"/>
        <v>6.5154823558011849E-3</v>
      </c>
      <c r="P120" s="192">
        <f t="shared" si="0"/>
        <v>9.83870000806524E-3</v>
      </c>
      <c r="Q120" s="192">
        <f t="shared" si="0"/>
        <v>6.4721657154595625E-3</v>
      </c>
      <c r="R120" s="192">
        <f t="shared" si="0"/>
        <v>1.1286766968023519E-2</v>
      </c>
      <c r="S120" s="192">
        <f t="shared" si="0"/>
        <v>1.4551669357068602E-2</v>
      </c>
      <c r="T120" s="192">
        <f t="shared" si="0"/>
        <v>1.001388841785375E-2</v>
      </c>
      <c r="U120" s="192">
        <f t="shared" si="0"/>
        <v>5.7463921764219633E-3</v>
      </c>
      <c r="V120" s="192">
        <f t="shared" si="0"/>
        <v>1.0296052216391257E-2</v>
      </c>
      <c r="W120" s="192">
        <f t="shared" si="0"/>
        <v>7.7352274444612993E-3</v>
      </c>
      <c r="X120" s="192">
        <f t="shared" si="0"/>
        <v>2.2110967543787501E-3</v>
      </c>
      <c r="Y120" s="192">
        <f t="shared" si="0"/>
        <v>1.5710478999624012E-2</v>
      </c>
      <c r="Z120" s="192">
        <f t="shared" si="0"/>
        <v>1.6507756917190124E-2</v>
      </c>
      <c r="AA120" s="192">
        <f t="shared" si="0"/>
        <v>5.6773166273107589E-3</v>
      </c>
      <c r="AB120" s="192">
        <f t="shared" si="0"/>
        <v>1.0864736490173567E-2</v>
      </c>
      <c r="AC120" s="192">
        <f t="shared" si="0"/>
        <v>4.6927296145301764E-3</v>
      </c>
      <c r="AD120" s="192">
        <f t="shared" si="0"/>
        <v>-1.4310601347966979E-3</v>
      </c>
      <c r="AE120" s="192">
        <f t="shared" si="0"/>
        <v>2.1250360930256747E-3</v>
      </c>
      <c r="AF120" s="192">
        <f t="shared" si="0"/>
        <v>-2.9682880956143874E-3</v>
      </c>
    </row>
    <row r="121" spans="2:33" ht="15" customHeight="1"/>
    <row r="122" spans="2:33" ht="15" customHeight="1" thickBot="1"/>
    <row r="123" spans="2:33" ht="15" customHeight="1">
      <c r="B123" s="162" t="s">
        <v>935</v>
      </c>
      <c r="C123" s="163"/>
      <c r="D123" s="163"/>
      <c r="E123" s="164"/>
      <c r="G123" s="193"/>
    </row>
    <row r="124" spans="2:33" ht="15" customHeight="1">
      <c r="B124" s="194" t="s">
        <v>936</v>
      </c>
      <c r="C124" s="165" t="s">
        <v>937</v>
      </c>
      <c r="D124" s="165" t="s">
        <v>938</v>
      </c>
      <c r="E124" s="195" t="s">
        <v>33</v>
      </c>
    </row>
    <row r="125" spans="2:33" ht="15" customHeight="1">
      <c r="B125" s="196" t="s">
        <v>933</v>
      </c>
      <c r="C125" s="197">
        <v>0.19</v>
      </c>
      <c r="D125" s="198">
        <v>0.184</v>
      </c>
      <c r="E125" s="199">
        <f>C125+D125</f>
        <v>0.374</v>
      </c>
    </row>
    <row r="126" spans="2:33" ht="15" customHeight="1" thickBot="1">
      <c r="B126" s="200" t="s">
        <v>934</v>
      </c>
      <c r="C126" s="201">
        <v>0.19</v>
      </c>
      <c r="D126" s="202">
        <v>0.24399999999999999</v>
      </c>
      <c r="E126" s="203">
        <f>C126+D126</f>
        <v>0.434</v>
      </c>
    </row>
    <row r="127" spans="2:33" ht="15" customHeight="1"/>
    <row r="128" spans="2:33" ht="15" customHeight="1">
      <c r="B128" t="s">
        <v>939</v>
      </c>
    </row>
    <row r="129" spans="2:32" ht="15" customHeight="1">
      <c r="B129" s="184" t="s">
        <v>933</v>
      </c>
      <c r="C129" s="197">
        <f>C42-E125</f>
        <v>2.735252</v>
      </c>
      <c r="D129" s="197">
        <f>C129*(1+D119)</f>
        <v>2.6226926148488445</v>
      </c>
      <c r="E129" s="197">
        <f t="shared" ref="E129:AF130" si="1">D129*(1+E119)</f>
        <v>2.3467237457587871</v>
      </c>
      <c r="F129" s="197">
        <f t="shared" si="1"/>
        <v>2.3311739240164515</v>
      </c>
      <c r="G129" s="197">
        <f t="shared" si="1"/>
        <v>2.3071348637691638</v>
      </c>
      <c r="H129" s="197">
        <f t="shared" si="1"/>
        <v>2.3309777478313118</v>
      </c>
      <c r="I129" s="197">
        <f t="shared" si="1"/>
        <v>2.3583227726694398</v>
      </c>
      <c r="J129" s="197">
        <f t="shared" si="1"/>
        <v>2.3832960890091894</v>
      </c>
      <c r="K129" s="197">
        <f t="shared" si="1"/>
        <v>2.4006590009648621</v>
      </c>
      <c r="L129" s="197">
        <f t="shared" si="1"/>
        <v>2.4594493968247022</v>
      </c>
      <c r="M129" s="197">
        <f t="shared" si="1"/>
        <v>2.5376682727241149</v>
      </c>
      <c r="N129" s="197">
        <f t="shared" si="1"/>
        <v>2.5628720740885589</v>
      </c>
      <c r="O129" s="197">
        <f t="shared" si="1"/>
        <v>2.5835409506350722</v>
      </c>
      <c r="P129" s="197">
        <f t="shared" si="1"/>
        <v>2.6030019800865287</v>
      </c>
      <c r="Q129" s="197">
        <f t="shared" si="1"/>
        <v>2.6122328173541418</v>
      </c>
      <c r="R129" s="197">
        <f t="shared" si="1"/>
        <v>2.6303566817768389</v>
      </c>
      <c r="S129" s="197">
        <f t="shared" si="1"/>
        <v>2.6463929852697685</v>
      </c>
      <c r="T129" s="197">
        <f t="shared" si="1"/>
        <v>2.674964331193483</v>
      </c>
      <c r="U129" s="197">
        <f t="shared" si="1"/>
        <v>2.6759284975563253</v>
      </c>
      <c r="V129" s="197">
        <f t="shared" si="1"/>
        <v>2.6964865301596657</v>
      </c>
      <c r="W129" s="197">
        <f t="shared" si="1"/>
        <v>2.713176461031785</v>
      </c>
      <c r="X129" s="197">
        <f t="shared" si="1"/>
        <v>2.7171052630175998</v>
      </c>
      <c r="Y129" s="197">
        <f t="shared" si="1"/>
        <v>2.7436726208258442</v>
      </c>
      <c r="Z129" s="197">
        <f t="shared" si="1"/>
        <v>2.7692168714443204</v>
      </c>
      <c r="AA129" s="197">
        <f t="shared" si="1"/>
        <v>2.7776902751002481</v>
      </c>
      <c r="AB129" s="197">
        <f t="shared" si="1"/>
        <v>2.799528291333091</v>
      </c>
      <c r="AC129" s="197">
        <f t="shared" si="1"/>
        <v>2.8077456982631182</v>
      </c>
      <c r="AD129" s="197">
        <f t="shared" si="1"/>
        <v>2.7997957243388432</v>
      </c>
      <c r="AE129" s="197">
        <f t="shared" si="1"/>
        <v>2.8010466774118008</v>
      </c>
      <c r="AF129" s="197">
        <f t="shared" si="1"/>
        <v>2.8000948270426447</v>
      </c>
    </row>
    <row r="130" spans="2:32" ht="15" customHeight="1">
      <c r="B130" s="184" t="s">
        <v>934</v>
      </c>
      <c r="C130" s="197">
        <f>C44-E126</f>
        <v>2.8226489999999997</v>
      </c>
      <c r="D130" s="197">
        <f>C130*(1+D120)</f>
        <v>2.9506215045594262</v>
      </c>
      <c r="E130" s="197">
        <f t="shared" si="1"/>
        <v>2.7543550779283219</v>
      </c>
      <c r="F130" s="197">
        <f t="shared" si="1"/>
        <v>2.9795332526380558</v>
      </c>
      <c r="G130" s="197">
        <f t="shared" si="1"/>
        <v>2.99128118432301</v>
      </c>
      <c r="H130" s="197">
        <f t="shared" si="1"/>
        <v>3.019534262945339</v>
      </c>
      <c r="I130" s="197">
        <f t="shared" si="1"/>
        <v>3.0736717708493031</v>
      </c>
      <c r="J130" s="197">
        <f t="shared" si="1"/>
        <v>3.1270111932997358</v>
      </c>
      <c r="K130" s="197">
        <f t="shared" si="1"/>
        <v>3.1594951206543307</v>
      </c>
      <c r="L130" s="197">
        <f t="shared" si="1"/>
        <v>3.1485367387496073</v>
      </c>
      <c r="M130" s="197">
        <f t="shared" si="1"/>
        <v>3.2417548268566931</v>
      </c>
      <c r="N130" s="197">
        <f t="shared" si="1"/>
        <v>3.2771152761133195</v>
      </c>
      <c r="O130" s="197">
        <f t="shared" si="1"/>
        <v>3.2984672628727623</v>
      </c>
      <c r="P130" s="197">
        <f t="shared" si="1"/>
        <v>3.3309198927585917</v>
      </c>
      <c r="Q130" s="197">
        <f t="shared" si="1"/>
        <v>3.3524781582894461</v>
      </c>
      <c r="R130" s="197">
        <f t="shared" si="1"/>
        <v>3.3903167980274476</v>
      </c>
      <c r="S130" s="197">
        <f t="shared" si="1"/>
        <v>3.4396515670880587</v>
      </c>
      <c r="T130" s="197">
        <f t="shared" si="1"/>
        <v>3.4740958540771745</v>
      </c>
      <c r="U130" s="197">
        <f t="shared" si="1"/>
        <v>3.4940593713131838</v>
      </c>
      <c r="V130" s="197">
        <f t="shared" si="1"/>
        <v>3.5300343890473957</v>
      </c>
      <c r="W130" s="197">
        <f t="shared" si="1"/>
        <v>3.5573400079334472</v>
      </c>
      <c r="X130" s="197">
        <f t="shared" si="1"/>
        <v>3.5652056308792104</v>
      </c>
      <c r="Y130" s="197">
        <f t="shared" si="1"/>
        <v>3.6212167190724798</v>
      </c>
      <c r="Z130" s="197">
        <f t="shared" si="1"/>
        <v>3.680994884415393</v>
      </c>
      <c r="AA130" s="197">
        <f t="shared" si="1"/>
        <v>3.7018930578777303</v>
      </c>
      <c r="AB130" s="197">
        <f t="shared" si="1"/>
        <v>3.7421131504663743</v>
      </c>
      <c r="AC130" s="197">
        <f t="shared" si="1"/>
        <v>3.7596738756684909</v>
      </c>
      <c r="AD130" s="197">
        <f t="shared" si="1"/>
        <v>3.7542935562651851</v>
      </c>
      <c r="AE130" s="197">
        <f t="shared" si="1"/>
        <v>3.7622715655760621</v>
      </c>
      <c r="AF130" s="197">
        <f t="shared" si="1"/>
        <v>3.7511040596754945</v>
      </c>
    </row>
    <row r="131" spans="2:32" ht="15" customHeight="1"/>
    <row r="132" spans="2:32" ht="15" customHeight="1"/>
    <row r="133" spans="2:32" ht="15" customHeight="1"/>
    <row r="134" spans="2:32" ht="15" customHeight="1"/>
    <row r="135" spans="2:32" ht="15" customHeight="1"/>
    <row r="136" spans="2:32" ht="15" customHeight="1"/>
    <row r="137" spans="2:32" ht="15" customHeight="1"/>
    <row r="138" spans="2:32" ht="15" customHeight="1"/>
    <row r="139" spans="2:32" ht="15" customHeight="1"/>
    <row r="140" spans="2:32"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4" ht="15" customHeight="1"/>
    <row r="225"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300" ht="15" customHeight="1"/>
    <row r="301" ht="15" customHeight="1"/>
    <row r="302" ht="15" customHeight="1"/>
    <row r="303" ht="15" customHeight="1"/>
    <row r="304" ht="15" customHeight="1"/>
    <row r="305" spans="2:33" ht="15" customHeight="1"/>
    <row r="306" spans="2:33" ht="15" customHeight="1"/>
    <row r="307" spans="2:33" ht="15" customHeight="1"/>
    <row r="308" spans="2:33" ht="15" customHeight="1">
      <c r="B308" s="626"/>
      <c r="C308" s="626"/>
      <c r="D308" s="626"/>
      <c r="E308" s="626"/>
      <c r="F308" s="626"/>
      <c r="G308" s="626"/>
      <c r="H308" s="626"/>
      <c r="I308" s="626"/>
      <c r="J308" s="626"/>
      <c r="K308" s="626"/>
      <c r="L308" s="626"/>
      <c r="M308" s="626"/>
      <c r="N308" s="626"/>
      <c r="O308" s="626"/>
      <c r="P308" s="626"/>
      <c r="Q308" s="626"/>
      <c r="R308" s="626"/>
      <c r="S308" s="626"/>
      <c r="T308" s="626"/>
      <c r="U308" s="626"/>
      <c r="V308" s="626"/>
      <c r="W308" s="626"/>
      <c r="X308" s="626"/>
      <c r="Y308" s="626"/>
      <c r="Z308" s="626"/>
      <c r="AA308" s="626"/>
      <c r="AB308" s="626"/>
      <c r="AC308" s="626"/>
      <c r="AD308" s="626"/>
      <c r="AE308" s="626"/>
      <c r="AF308" s="626"/>
      <c r="AG308" s="626"/>
    </row>
    <row r="309" spans="2:33" ht="15" customHeight="1"/>
    <row r="310" spans="2:33" ht="15" customHeight="1"/>
    <row r="311" spans="2:33" ht="15" customHeight="1"/>
    <row r="312" spans="2:33" ht="15" customHeight="1"/>
    <row r="313" spans="2:33" ht="15" customHeight="1"/>
    <row r="314" spans="2:33" ht="15" customHeight="1"/>
    <row r="315" spans="2:33" ht="15" customHeight="1"/>
    <row r="316" spans="2:33" ht="15" customHeight="1"/>
    <row r="317" spans="2:33" ht="15" customHeight="1"/>
    <row r="318" spans="2:33" ht="15" customHeight="1"/>
    <row r="319" spans="2:33" ht="15" customHeight="1"/>
    <row r="320" spans="2:33"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6" ht="15" customHeight="1"/>
    <row r="387" ht="15" customHeight="1"/>
    <row r="388" ht="15" customHeight="1"/>
    <row r="389" ht="15" customHeight="1"/>
    <row r="390" ht="15" customHeight="1"/>
    <row r="391" ht="15" customHeight="1"/>
    <row r="393" ht="15" customHeight="1"/>
    <row r="394" ht="15" customHeight="1"/>
    <row r="395" ht="15" customHeight="1"/>
    <row r="396" ht="15" customHeight="1"/>
    <row r="397" ht="15" customHeight="1"/>
    <row r="398" ht="15" customHeight="1"/>
    <row r="399" ht="15" customHeight="1"/>
    <row r="400" ht="15" customHeight="1"/>
    <row r="401" ht="15" customHeight="1"/>
    <row r="403" ht="15" customHeight="1"/>
    <row r="404" ht="15" customHeight="1"/>
    <row r="405" ht="15" customHeight="1"/>
    <row r="406" ht="15" customHeight="1"/>
    <row r="407" ht="15" customHeight="1"/>
    <row r="408" ht="15" customHeight="1"/>
    <row r="409" ht="15" customHeight="1"/>
    <row r="410" ht="15" customHeight="1"/>
    <row r="411" ht="15" customHeight="1"/>
    <row r="413" ht="15" customHeight="1"/>
    <row r="414" ht="15" customHeight="1"/>
    <row r="415" ht="15" customHeight="1"/>
    <row r="416" ht="15" customHeight="1"/>
    <row r="417" ht="15" customHeight="1"/>
    <row r="418"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4" ht="15" customHeight="1"/>
    <row r="435" ht="15" customHeight="1"/>
    <row r="436" ht="15" customHeight="1"/>
    <row r="437" ht="15" customHeight="1"/>
    <row r="438" ht="15" customHeight="1"/>
    <row r="439" ht="15" customHeight="1"/>
    <row r="440" ht="15" customHeight="1"/>
    <row r="441" ht="15" customHeight="1"/>
    <row r="442" ht="15" customHeight="1"/>
    <row r="445" ht="15" customHeight="1"/>
    <row r="446" ht="15" customHeight="1"/>
    <row r="447" ht="15" customHeight="1"/>
    <row r="448" ht="15" customHeight="1"/>
    <row r="449" ht="15" customHeight="1"/>
    <row r="450" ht="15" customHeight="1"/>
    <row r="452" ht="15" customHeight="1"/>
    <row r="453" ht="15" customHeight="1"/>
    <row r="454" ht="15" customHeight="1"/>
    <row r="455" ht="15" customHeight="1"/>
    <row r="456" ht="15" customHeight="1"/>
    <row r="457" ht="15" customHeight="1"/>
    <row r="459" ht="15" customHeight="1"/>
    <row r="460" ht="15" customHeight="1"/>
    <row r="461" ht="15" customHeight="1"/>
    <row r="462" ht="15" customHeight="1"/>
    <row r="463" ht="15" customHeight="1"/>
    <row r="464" ht="15" customHeight="1"/>
    <row r="465" ht="15" customHeight="1"/>
    <row r="466" ht="15" customHeight="1"/>
    <row r="467" ht="15" customHeight="1"/>
    <row r="470" ht="15" customHeight="1"/>
    <row r="471" ht="15" customHeight="1"/>
    <row r="472" ht="15" customHeight="1"/>
    <row r="473" ht="15" customHeight="1"/>
    <row r="474" ht="15" customHeight="1"/>
    <row r="475" ht="15" customHeight="1"/>
    <row r="476" ht="15" customHeight="1"/>
    <row r="477" ht="15" customHeight="1"/>
    <row r="478" ht="15" customHeight="1"/>
    <row r="480" ht="15" customHeight="1"/>
    <row r="481" ht="15" customHeight="1"/>
    <row r="482" ht="15" customHeight="1"/>
    <row r="483" ht="15" customHeight="1"/>
    <row r="484" ht="15" customHeight="1"/>
    <row r="485"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spans="2:33" ht="15" customHeight="1"/>
    <row r="498" spans="2:33" ht="15" customHeight="1"/>
    <row r="500" spans="2:33" ht="15" customHeight="1"/>
    <row r="501" spans="2:33" ht="15" customHeight="1"/>
    <row r="502" spans="2:33" ht="15" customHeight="1"/>
    <row r="503" spans="2:33" ht="15" customHeight="1"/>
    <row r="504" spans="2:33" ht="15" customHeight="1"/>
    <row r="505" spans="2:33" ht="15" customHeight="1"/>
    <row r="506" spans="2:33" ht="15" customHeight="1"/>
    <row r="507" spans="2:33" ht="15" customHeight="1"/>
    <row r="508" spans="2:33" ht="15" customHeight="1"/>
    <row r="510" spans="2:33" ht="15" customHeight="1"/>
    <row r="511" spans="2:33" ht="15" customHeight="1">
      <c r="B511" s="626"/>
      <c r="C511" s="626"/>
      <c r="D511" s="626"/>
      <c r="E511" s="626"/>
      <c r="F511" s="626"/>
      <c r="G511" s="626"/>
      <c r="H511" s="626"/>
      <c r="I511" s="626"/>
      <c r="J511" s="626"/>
      <c r="K511" s="626"/>
      <c r="L511" s="626"/>
      <c r="M511" s="626"/>
      <c r="N511" s="626"/>
      <c r="O511" s="626"/>
      <c r="P511" s="626"/>
      <c r="Q511" s="626"/>
      <c r="R511" s="626"/>
      <c r="S511" s="626"/>
      <c r="T511" s="626"/>
      <c r="U511" s="626"/>
      <c r="V511" s="626"/>
      <c r="W511" s="626"/>
      <c r="X511" s="626"/>
      <c r="Y511" s="626"/>
      <c r="Z511" s="626"/>
      <c r="AA511" s="626"/>
      <c r="AB511" s="626"/>
      <c r="AC511" s="626"/>
      <c r="AD511" s="626"/>
      <c r="AE511" s="626"/>
      <c r="AF511" s="626"/>
      <c r="AG511" s="626"/>
    </row>
    <row r="512" spans="2:33"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7" ht="15" customHeight="1"/>
    <row r="589" ht="15" customHeight="1"/>
    <row r="590" ht="15" customHeight="1"/>
    <row r="591" ht="15" customHeight="1"/>
    <row r="592" ht="15" customHeight="1"/>
    <row r="593" ht="15" customHeight="1"/>
    <row r="594" ht="15" customHeight="1"/>
    <row r="595"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7" ht="15" customHeight="1"/>
    <row r="618" ht="15" customHeight="1"/>
    <row r="619" ht="15" customHeight="1"/>
    <row r="620" ht="15" customHeight="1"/>
    <row r="621" ht="15" customHeight="1"/>
    <row r="622" ht="15" customHeight="1"/>
    <row r="623" ht="15" customHeight="1"/>
    <row r="624" ht="15" customHeight="1"/>
    <row r="626" ht="15" customHeight="1"/>
    <row r="627" ht="15" customHeight="1"/>
    <row r="628" ht="15" customHeight="1"/>
    <row r="629" ht="15" customHeight="1"/>
    <row r="630" ht="15" customHeight="1"/>
    <row r="632" ht="15" customHeight="1"/>
    <row r="633" ht="15" customHeight="1"/>
    <row r="634" ht="15" customHeight="1"/>
    <row r="635" ht="15" customHeight="1"/>
    <row r="636" ht="15" customHeight="1"/>
    <row r="637" ht="15" customHeight="1"/>
    <row r="639"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60"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1" ht="15" customHeight="1"/>
    <row r="682" ht="15" customHeight="1"/>
    <row r="683" ht="15" customHeight="1"/>
    <row r="684" ht="15" customHeight="1"/>
    <row r="685" ht="15" customHeight="1"/>
    <row r="686"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700" ht="15" customHeight="1"/>
    <row r="701" ht="15" customHeight="1"/>
    <row r="702" ht="15" customHeight="1"/>
    <row r="703" ht="15" customHeight="1"/>
    <row r="704" ht="15" customHeight="1"/>
    <row r="705" spans="2:33" ht="15" customHeight="1"/>
    <row r="706" spans="2:33" ht="15" customHeight="1"/>
    <row r="707" spans="2:33" ht="15" customHeight="1"/>
    <row r="708" spans="2:33" ht="15" customHeight="1"/>
    <row r="709" spans="2:33" ht="15" customHeight="1"/>
    <row r="710" spans="2:33" ht="15" customHeight="1"/>
    <row r="711" spans="2:33" ht="15" customHeight="1"/>
    <row r="712" spans="2:33" ht="15" customHeight="1">
      <c r="B712" s="626"/>
      <c r="C712" s="626"/>
      <c r="D712" s="626"/>
      <c r="E712" s="626"/>
      <c r="F712" s="626"/>
      <c r="G712" s="626"/>
      <c r="H712" s="626"/>
      <c r="I712" s="626"/>
      <c r="J712" s="626"/>
      <c r="K712" s="626"/>
      <c r="L712" s="626"/>
      <c r="M712" s="626"/>
      <c r="N712" s="626"/>
      <c r="O712" s="626"/>
      <c r="P712" s="626"/>
      <c r="Q712" s="626"/>
      <c r="R712" s="626"/>
      <c r="S712" s="626"/>
      <c r="T712" s="626"/>
      <c r="U712" s="626"/>
      <c r="V712" s="626"/>
      <c r="W712" s="626"/>
      <c r="X712" s="626"/>
      <c r="Y712" s="626"/>
      <c r="Z712" s="626"/>
      <c r="AA712" s="626"/>
      <c r="AB712" s="626"/>
      <c r="AC712" s="626"/>
      <c r="AD712" s="626"/>
      <c r="AE712" s="626"/>
      <c r="AF712" s="626"/>
      <c r="AG712" s="626"/>
    </row>
    <row r="713" spans="2:33" ht="15" customHeight="1"/>
    <row r="714" spans="2:33" ht="15" customHeight="1"/>
    <row r="715" spans="2:33" ht="15" customHeight="1"/>
    <row r="716" spans="2:33" ht="15" customHeight="1"/>
    <row r="717" spans="2:33" ht="15" customHeight="1"/>
    <row r="718" spans="2:33" ht="15" customHeight="1"/>
    <row r="719" spans="2:33" ht="15" customHeight="1"/>
    <row r="720" spans="2:33"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75" ht="15" customHeight="1"/>
    <row r="776" ht="15" customHeight="1"/>
    <row r="777" ht="15" customHeight="1"/>
    <row r="778" ht="15" customHeight="1"/>
    <row r="779" ht="15" customHeight="1"/>
    <row r="780" ht="15" customHeight="1"/>
    <row r="782" ht="15" customHeight="1"/>
    <row r="783" ht="15" customHeight="1"/>
    <row r="784" ht="15" customHeight="1"/>
    <row r="785" ht="15" customHeight="1"/>
    <row r="787" ht="15" customHeight="1"/>
    <row r="788" ht="15" customHeight="1"/>
    <row r="789" ht="15" customHeight="1"/>
    <row r="790"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8" ht="15" customHeight="1"/>
    <row r="809" ht="15" customHeight="1"/>
    <row r="810" ht="15" customHeight="1"/>
    <row r="811" ht="15" customHeight="1"/>
    <row r="812" ht="15" customHeight="1"/>
    <row r="813" ht="15" customHeight="1"/>
    <row r="814" ht="15" customHeight="1"/>
    <row r="816" ht="15" customHeight="1"/>
    <row r="817" ht="15" customHeight="1"/>
    <row r="818" ht="15" customHeight="1"/>
    <row r="819" ht="15" customHeight="1"/>
    <row r="820" ht="15" customHeight="1"/>
    <row r="822" ht="15" customHeight="1"/>
    <row r="823"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40"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7" ht="15" customHeight="1"/>
    <row r="858" ht="15" customHeight="1"/>
    <row r="859" ht="15" customHeight="1"/>
    <row r="860" ht="15" customHeight="1"/>
    <row r="861"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5" ht="15" customHeight="1"/>
    <row r="876" ht="15" customHeight="1"/>
    <row r="877" ht="15" customHeight="1"/>
    <row r="878" ht="15" customHeight="1"/>
    <row r="879" ht="15" customHeight="1"/>
    <row r="880" ht="15" customHeight="1"/>
    <row r="881" spans="2:33" ht="15" customHeight="1"/>
    <row r="882" spans="2:33" ht="15" customHeight="1"/>
    <row r="883" spans="2:33" ht="15" customHeight="1"/>
    <row r="884" spans="2:33" ht="15" customHeight="1"/>
    <row r="885" spans="2:33" ht="15" customHeight="1"/>
    <row r="886" spans="2:33" ht="15" customHeight="1"/>
    <row r="887" spans="2:33" ht="15" customHeight="1">
      <c r="B887" s="626"/>
      <c r="C887" s="626"/>
      <c r="D887" s="626"/>
      <c r="E887" s="626"/>
      <c r="F887" s="626"/>
      <c r="G887" s="626"/>
      <c r="H887" s="626"/>
      <c r="I887" s="626"/>
      <c r="J887" s="626"/>
      <c r="K887" s="626"/>
      <c r="L887" s="626"/>
      <c r="M887" s="626"/>
      <c r="N887" s="626"/>
      <c r="O887" s="626"/>
      <c r="P887" s="626"/>
      <c r="Q887" s="626"/>
      <c r="R887" s="626"/>
      <c r="S887" s="626"/>
      <c r="T887" s="626"/>
      <c r="U887" s="626"/>
      <c r="V887" s="626"/>
      <c r="W887" s="626"/>
      <c r="X887" s="626"/>
      <c r="Y887" s="626"/>
      <c r="Z887" s="626"/>
      <c r="AA887" s="626"/>
      <c r="AB887" s="626"/>
      <c r="AC887" s="626"/>
      <c r="AD887" s="626"/>
      <c r="AE887" s="626"/>
      <c r="AF887" s="626"/>
      <c r="AG887" s="626"/>
    </row>
    <row r="888" spans="2:33" ht="15" customHeight="1"/>
    <row r="889" spans="2:33" ht="15" customHeight="1"/>
    <row r="890" spans="2:33" ht="15" customHeight="1"/>
    <row r="891" spans="2:33" ht="15" customHeight="1"/>
    <row r="892" spans="2:33" ht="15" customHeight="1"/>
    <row r="893" spans="2:33" ht="15" customHeight="1"/>
    <row r="894" spans="2:33" ht="15" customHeight="1"/>
    <row r="895" spans="2:33" ht="15" customHeight="1"/>
    <row r="896" spans="2:33" ht="15" customHeight="1"/>
    <row r="897" ht="15" customHeight="1"/>
    <row r="898" ht="15" customHeight="1"/>
    <row r="899" ht="15" customHeight="1"/>
    <row r="900" ht="15" customHeight="1"/>
    <row r="901" ht="15" customHeight="1"/>
    <row r="902" ht="15" customHeight="1"/>
    <row r="903" ht="15" customHeight="1"/>
    <row r="904" ht="15" customHeight="1"/>
    <row r="905"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spans="2:33" ht="15" customHeight="1"/>
    <row r="1090" spans="2:33" ht="15" customHeight="1"/>
    <row r="1091" spans="2:33" ht="15" customHeight="1"/>
    <row r="1092" spans="2:33" ht="15" customHeight="1"/>
    <row r="1093" spans="2:33" ht="15" customHeight="1"/>
    <row r="1094" spans="2:33" ht="15" customHeight="1"/>
    <row r="1096" spans="2:33" ht="15" customHeight="1"/>
    <row r="1097" spans="2:33" ht="15" customHeight="1"/>
    <row r="1098" spans="2:33" ht="15" customHeight="1"/>
    <row r="1099" spans="2:33" ht="15" customHeight="1"/>
    <row r="1100" spans="2:33" ht="15" customHeight="1">
      <c r="B1100" s="626"/>
      <c r="C1100" s="626"/>
      <c r="D1100" s="626"/>
      <c r="E1100" s="626"/>
      <c r="F1100" s="626"/>
      <c r="G1100" s="626"/>
      <c r="H1100" s="626"/>
      <c r="I1100" s="626"/>
      <c r="J1100" s="626"/>
      <c r="K1100" s="626"/>
      <c r="L1100" s="626"/>
      <c r="M1100" s="626"/>
      <c r="N1100" s="626"/>
      <c r="O1100" s="626"/>
      <c r="P1100" s="626"/>
      <c r="Q1100" s="626"/>
      <c r="R1100" s="626"/>
      <c r="S1100" s="626"/>
      <c r="T1100" s="626"/>
      <c r="U1100" s="626"/>
      <c r="V1100" s="626"/>
      <c r="W1100" s="626"/>
      <c r="X1100" s="626"/>
      <c r="Y1100" s="626"/>
      <c r="Z1100" s="626"/>
      <c r="AA1100" s="626"/>
      <c r="AB1100" s="626"/>
      <c r="AC1100" s="626"/>
      <c r="AD1100" s="626"/>
      <c r="AE1100" s="626"/>
      <c r="AF1100" s="626"/>
      <c r="AG1100" s="626"/>
    </row>
    <row r="1101" spans="2:33" ht="15" customHeight="1"/>
    <row r="1102" spans="2:33" ht="15" customHeight="1"/>
    <row r="1103" spans="2:33" ht="15" customHeight="1"/>
    <row r="1104" spans="2:33" ht="15" customHeight="1"/>
    <row r="1105" ht="15" customHeight="1"/>
    <row r="1106" ht="15" customHeight="1"/>
    <row r="1107" ht="15" customHeight="1"/>
    <row r="1108" ht="15" customHeight="1"/>
    <row r="1109" ht="15" customHeight="1"/>
    <row r="1110" ht="15" customHeight="1"/>
    <row r="1111"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1" ht="15" customHeight="1"/>
    <row r="1212" ht="15" customHeight="1"/>
    <row r="1213" ht="15" customHeight="1"/>
    <row r="1214" ht="15" customHeight="1"/>
    <row r="1215" ht="15" customHeight="1"/>
    <row r="1216" ht="15" customHeight="1"/>
    <row r="1217" spans="2:33" ht="15" customHeight="1"/>
    <row r="1218" spans="2:33" ht="15" customHeight="1"/>
    <row r="1219" spans="2:33" ht="15" customHeight="1"/>
    <row r="1220" spans="2:33" ht="15" customHeight="1"/>
    <row r="1221" spans="2:33" ht="15" customHeight="1"/>
    <row r="1222" spans="2:33" ht="15" customHeight="1"/>
    <row r="1223" spans="2:33" ht="15" customHeight="1"/>
    <row r="1224" spans="2:33" ht="15" customHeight="1"/>
    <row r="1225" spans="2:33" ht="15" customHeight="1"/>
    <row r="1226" spans="2:33" ht="15" customHeight="1"/>
    <row r="1227" spans="2:33" ht="15" customHeight="1">
      <c r="B1227" s="626"/>
      <c r="C1227" s="626"/>
      <c r="D1227" s="626"/>
      <c r="E1227" s="626"/>
      <c r="F1227" s="626"/>
      <c r="G1227" s="626"/>
      <c r="H1227" s="626"/>
      <c r="I1227" s="626"/>
      <c r="J1227" s="626"/>
      <c r="K1227" s="626"/>
      <c r="L1227" s="626"/>
      <c r="M1227" s="626"/>
      <c r="N1227" s="626"/>
      <c r="O1227" s="626"/>
      <c r="P1227" s="626"/>
      <c r="Q1227" s="626"/>
      <c r="R1227" s="626"/>
      <c r="S1227" s="626"/>
      <c r="T1227" s="626"/>
      <c r="U1227" s="626"/>
      <c r="V1227" s="626"/>
      <c r="W1227" s="626"/>
      <c r="X1227" s="626"/>
      <c r="Y1227" s="626"/>
      <c r="Z1227" s="626"/>
      <c r="AA1227" s="626"/>
      <c r="AB1227" s="626"/>
      <c r="AC1227" s="626"/>
      <c r="AD1227" s="626"/>
      <c r="AE1227" s="626"/>
      <c r="AF1227" s="626"/>
      <c r="AG1227" s="626"/>
    </row>
    <row r="1228" spans="2:33" ht="15" customHeight="1"/>
    <row r="1229" spans="2:33" ht="15" customHeight="1"/>
    <row r="1230" spans="2:33" ht="15" customHeight="1"/>
    <row r="1231" spans="2:33" ht="15" customHeight="1"/>
    <row r="1232" spans="2:33" ht="15" customHeight="1"/>
    <row r="1233" ht="15" customHeight="1"/>
    <row r="1234" ht="15" customHeight="1"/>
    <row r="1235" ht="15" customHeight="1"/>
    <row r="1236" ht="15" customHeight="1"/>
    <row r="1237" ht="15" customHeight="1"/>
    <row r="1300" ht="15" customHeight="1"/>
    <row r="1301" ht="15" customHeight="1"/>
    <row r="1302" ht="15" customHeight="1"/>
    <row r="1303" ht="15" customHeight="1"/>
    <row r="1304" ht="15" customHeight="1"/>
    <row r="1305"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7"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50" ht="15" customHeight="1"/>
    <row r="1352" ht="15" customHeight="1"/>
    <row r="1353" ht="15" customHeight="1"/>
    <row r="1354" ht="15" customHeight="1"/>
    <row r="1355" ht="15" customHeight="1"/>
    <row r="1356" ht="15" customHeight="1"/>
    <row r="1357" ht="15" customHeight="1"/>
    <row r="1358" ht="15" customHeight="1"/>
    <row r="1359"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5" ht="15" customHeight="1"/>
    <row r="1376" ht="15" customHeight="1"/>
    <row r="1377" spans="2:33" ht="15" customHeight="1"/>
    <row r="1378" spans="2:33" ht="15" customHeight="1"/>
    <row r="1379" spans="2:33" ht="15" customHeight="1"/>
    <row r="1380" spans="2:33" ht="15" customHeight="1"/>
    <row r="1381" spans="2:33" ht="15" customHeight="1"/>
    <row r="1382" spans="2:33" ht="15" customHeight="1"/>
    <row r="1383" spans="2:33" ht="15" customHeight="1"/>
    <row r="1385" spans="2:33" ht="15" customHeight="1"/>
    <row r="1386" spans="2:33" ht="15" customHeight="1"/>
    <row r="1387" spans="2:33" ht="15" customHeight="1"/>
    <row r="1388" spans="2:33" ht="15" customHeight="1"/>
    <row r="1389" spans="2:33" ht="15" customHeight="1"/>
    <row r="1390" spans="2:33" ht="15" customHeight="1">
      <c r="B1390" s="626"/>
      <c r="C1390" s="626"/>
      <c r="D1390" s="626"/>
      <c r="E1390" s="626"/>
      <c r="F1390" s="626"/>
      <c r="G1390" s="626"/>
      <c r="H1390" s="626"/>
      <c r="I1390" s="626"/>
      <c r="J1390" s="626"/>
      <c r="K1390" s="626"/>
      <c r="L1390" s="626"/>
      <c r="M1390" s="626"/>
      <c r="N1390" s="626"/>
      <c r="O1390" s="626"/>
      <c r="P1390" s="626"/>
      <c r="Q1390" s="626"/>
      <c r="R1390" s="626"/>
      <c r="S1390" s="626"/>
      <c r="T1390" s="626"/>
      <c r="U1390" s="626"/>
      <c r="V1390" s="626"/>
      <c r="W1390" s="626"/>
      <c r="X1390" s="626"/>
      <c r="Y1390" s="626"/>
      <c r="Z1390" s="626"/>
      <c r="AA1390" s="626"/>
      <c r="AB1390" s="626"/>
      <c r="AC1390" s="626"/>
      <c r="AD1390" s="626"/>
      <c r="AE1390" s="626"/>
      <c r="AF1390" s="626"/>
      <c r="AG1390" s="626"/>
    </row>
    <row r="1391" spans="2:33" ht="15" customHeight="1"/>
    <row r="1392" spans="2:33"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9" spans="2:33" ht="15" customHeight="1"/>
    <row r="1491" spans="2:33" ht="15" customHeight="1"/>
    <row r="1492" spans="2:33" ht="15" customHeight="1"/>
    <row r="1493" spans="2:33" ht="15" customHeight="1"/>
    <row r="1494" spans="2:33" ht="15" customHeight="1"/>
    <row r="1495" spans="2:33" ht="15" customHeight="1"/>
    <row r="1496" spans="2:33" ht="15" customHeight="1"/>
    <row r="1497" spans="2:33" ht="15" customHeight="1"/>
    <row r="1498" spans="2:33" ht="15" customHeight="1"/>
    <row r="1500" spans="2:33" ht="15" customHeight="1"/>
    <row r="1501" spans="2:33" ht="15" customHeight="1"/>
    <row r="1502" spans="2:33" ht="15" customHeight="1">
      <c r="B1502" s="626"/>
      <c r="C1502" s="626"/>
      <c r="D1502" s="626"/>
      <c r="E1502" s="626"/>
      <c r="F1502" s="626"/>
      <c r="G1502" s="626"/>
      <c r="H1502" s="626"/>
      <c r="I1502" s="626"/>
      <c r="J1502" s="626"/>
      <c r="K1502" s="626"/>
      <c r="L1502" s="626"/>
      <c r="M1502" s="626"/>
      <c r="N1502" s="626"/>
      <c r="O1502" s="626"/>
      <c r="P1502" s="626"/>
      <c r="Q1502" s="626"/>
      <c r="R1502" s="626"/>
      <c r="S1502" s="626"/>
      <c r="T1502" s="626"/>
      <c r="U1502" s="626"/>
      <c r="V1502" s="626"/>
      <c r="W1502" s="626"/>
      <c r="X1502" s="626"/>
      <c r="Y1502" s="626"/>
      <c r="Z1502" s="626"/>
      <c r="AA1502" s="626"/>
      <c r="AB1502" s="626"/>
      <c r="AC1502" s="626"/>
      <c r="AD1502" s="626"/>
      <c r="AE1502" s="626"/>
      <c r="AF1502" s="626"/>
      <c r="AG1502" s="626"/>
    </row>
    <row r="1503" spans="2:33" ht="15" customHeight="1"/>
    <row r="1504" spans="2:33"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75" ht="15" customHeight="1"/>
    <row r="1576" ht="15" customHeight="1"/>
    <row r="1577" ht="15" customHeight="1"/>
    <row r="1578" ht="15" customHeight="1"/>
    <row r="1579" ht="15" customHeight="1"/>
    <row r="1580" ht="15" customHeight="1"/>
    <row r="1582" ht="15" customHeight="1"/>
    <row r="1583" ht="15" customHeight="1"/>
    <row r="1584" ht="15" customHeight="1"/>
    <row r="1585" ht="15" customHeight="1"/>
    <row r="1587" ht="15" customHeight="1"/>
    <row r="1588" ht="15" customHeight="1"/>
    <row r="1589" ht="15" customHeight="1"/>
    <row r="1590" ht="15" customHeight="1"/>
    <row r="1592" ht="15" customHeight="1"/>
    <row r="1594" ht="15" customHeight="1"/>
    <row r="1595" ht="15" customHeight="1"/>
    <row r="1596" ht="15" customHeight="1"/>
    <row r="1597" ht="15" customHeight="1"/>
    <row r="1599" ht="15" customHeight="1"/>
    <row r="1600" ht="15" customHeight="1"/>
    <row r="1601" spans="2:33" ht="15" customHeight="1"/>
    <row r="1602" spans="2:33" ht="15" customHeight="1"/>
    <row r="1603" spans="2:33" ht="15" customHeight="1"/>
    <row r="1604" spans="2:33" ht="15" customHeight="1">
      <c r="B1604" s="626"/>
      <c r="C1604" s="626"/>
      <c r="D1604" s="626"/>
      <c r="E1604" s="626"/>
      <c r="F1604" s="626"/>
      <c r="G1604" s="626"/>
      <c r="H1604" s="626"/>
      <c r="I1604" s="626"/>
      <c r="J1604" s="626"/>
      <c r="K1604" s="626"/>
      <c r="L1604" s="626"/>
      <c r="M1604" s="626"/>
      <c r="N1604" s="626"/>
      <c r="O1604" s="626"/>
      <c r="P1604" s="626"/>
      <c r="Q1604" s="626"/>
      <c r="R1604" s="626"/>
      <c r="S1604" s="626"/>
      <c r="T1604" s="626"/>
      <c r="U1604" s="626"/>
      <c r="V1604" s="626"/>
      <c r="W1604" s="626"/>
      <c r="X1604" s="626"/>
      <c r="Y1604" s="626"/>
      <c r="Z1604" s="626"/>
      <c r="AA1604" s="626"/>
      <c r="AB1604" s="626"/>
      <c r="AC1604" s="626"/>
      <c r="AD1604" s="626"/>
      <c r="AE1604" s="626"/>
      <c r="AF1604" s="626"/>
      <c r="AG1604" s="626"/>
    </row>
    <row r="1605" spans="2:33" ht="15" customHeight="1"/>
    <row r="1606" spans="2:33" ht="15" customHeight="1"/>
    <row r="1607" spans="2:33" ht="15" customHeight="1"/>
    <row r="1608" spans="2:33" ht="15" customHeight="1"/>
    <row r="1609" spans="2:33" ht="15" customHeight="1"/>
    <row r="1610" spans="2:33"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5"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6" ht="15" customHeight="1"/>
    <row r="1688" ht="15" customHeight="1"/>
    <row r="1689" ht="15" customHeight="1"/>
    <row r="1690" ht="15" customHeight="1"/>
    <row r="1691" ht="15" customHeight="1"/>
    <row r="1692" ht="15" customHeight="1"/>
    <row r="1693" ht="15" customHeight="1"/>
    <row r="1694" ht="15" customHeight="1"/>
    <row r="1695" ht="15" customHeight="1"/>
    <row r="1697" spans="2:33" ht="15" customHeight="1"/>
    <row r="1698" spans="2:33" ht="15" customHeight="1">
      <c r="B1698" s="626"/>
      <c r="C1698" s="626"/>
      <c r="D1698" s="626"/>
      <c r="E1698" s="626"/>
      <c r="F1698" s="626"/>
      <c r="G1698" s="626"/>
      <c r="H1698" s="626"/>
      <c r="I1698" s="626"/>
      <c r="J1698" s="626"/>
      <c r="K1698" s="626"/>
      <c r="L1698" s="626"/>
      <c r="M1698" s="626"/>
      <c r="N1698" s="626"/>
      <c r="O1698" s="626"/>
      <c r="P1698" s="626"/>
      <c r="Q1698" s="626"/>
      <c r="R1698" s="626"/>
      <c r="S1698" s="626"/>
      <c r="T1698" s="626"/>
      <c r="U1698" s="626"/>
      <c r="V1698" s="626"/>
      <c r="W1698" s="626"/>
      <c r="X1698" s="626"/>
      <c r="Y1698" s="626"/>
      <c r="Z1698" s="626"/>
      <c r="AA1698" s="626"/>
      <c r="AB1698" s="626"/>
      <c r="AC1698" s="626"/>
      <c r="AD1698" s="626"/>
      <c r="AE1698" s="626"/>
      <c r="AF1698" s="626"/>
      <c r="AG1698" s="626"/>
    </row>
    <row r="1699" spans="2:33" ht="15" customHeight="1"/>
    <row r="1700" spans="2:33" ht="15" customHeight="1"/>
    <row r="1701" spans="2:33" ht="15" customHeight="1"/>
    <row r="1702" spans="2:33" ht="15" customHeight="1"/>
    <row r="1703" spans="2:33" ht="15" customHeight="1"/>
    <row r="1704" spans="2:33" ht="15" customHeight="1"/>
    <row r="1705" spans="2:33" ht="15" customHeight="1"/>
    <row r="1706" spans="2:33" ht="15" customHeight="1"/>
    <row r="1707" spans="2:33" ht="15" customHeight="1"/>
    <row r="1708" spans="2:33" ht="15" customHeight="1"/>
    <row r="1709" spans="2:33" ht="15" customHeight="1"/>
    <row r="1710" spans="2:33" ht="15" customHeight="1"/>
    <row r="1711" spans="2:33" ht="15" customHeight="1"/>
    <row r="1712" spans="2:33"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1" ht="15" customHeight="1"/>
    <row r="1863" ht="15" customHeight="1"/>
    <row r="1864" ht="15" customHeight="1"/>
    <row r="1865" ht="15" customHeight="1"/>
    <row r="1867" ht="15" customHeight="1"/>
    <row r="1868" ht="15" customHeight="1"/>
    <row r="1869" ht="15" customHeight="1"/>
    <row r="1870" ht="15" customHeight="1"/>
    <row r="1872" ht="15" customHeight="1"/>
    <row r="1873" ht="15" customHeight="1"/>
    <row r="1874" ht="15" customHeight="1"/>
    <row r="1875" ht="15" customHeight="1"/>
    <row r="1876"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8" ht="15" customHeight="1"/>
    <row r="1889" ht="15" customHeight="1"/>
    <row r="1890" ht="15" customHeight="1"/>
    <row r="1891" ht="15" customHeight="1"/>
    <row r="1893" ht="15" customHeight="1"/>
    <row r="1894" ht="15" customHeight="1"/>
    <row r="1895" ht="15" customHeight="1"/>
    <row r="1896" ht="15" customHeight="1"/>
    <row r="1897" ht="15" customHeight="1"/>
    <row r="1898" ht="15" customHeight="1"/>
    <row r="1899" ht="15" customHeight="1"/>
    <row r="1900" ht="15" customHeight="1"/>
    <row r="1903" ht="15" customHeight="1"/>
    <row r="1904" ht="15" customHeight="1"/>
    <row r="1905" ht="15" customHeight="1"/>
    <row r="1906" ht="15" customHeight="1"/>
    <row r="1907" ht="15" customHeight="1"/>
    <row r="1909" ht="15" customHeight="1"/>
    <row r="1910" ht="15" customHeight="1"/>
    <row r="1911" ht="15" customHeight="1"/>
    <row r="1912" ht="15" customHeight="1"/>
    <row r="1913" ht="15" customHeight="1"/>
    <row r="1915" ht="15" customHeight="1"/>
    <row r="1916" ht="15" customHeight="1"/>
    <row r="1917" ht="15" customHeight="1"/>
    <row r="1919" ht="15" customHeight="1"/>
    <row r="1920" ht="15" customHeight="1"/>
    <row r="1921" ht="15" customHeight="1"/>
    <row r="1922" ht="15" customHeight="1"/>
    <row r="1924" ht="15" customHeight="1"/>
    <row r="1925" ht="15" customHeight="1"/>
    <row r="1926" ht="15" customHeight="1"/>
    <row r="1927" ht="15" customHeight="1"/>
    <row r="1928" ht="15" customHeight="1"/>
    <row r="1929" ht="15" customHeight="1"/>
    <row r="1930" ht="15" customHeight="1"/>
    <row r="1931" ht="15" customHeight="1"/>
    <row r="1933" ht="15" customHeight="1"/>
    <row r="1934" ht="15" customHeight="1"/>
    <row r="1935" ht="15" customHeight="1"/>
    <row r="1937" spans="2:33" ht="15" customHeight="1"/>
    <row r="1938" spans="2:33" ht="15" customHeight="1"/>
    <row r="1939" spans="2:33" ht="15" customHeight="1"/>
    <row r="1940" spans="2:33" ht="15" customHeight="1"/>
    <row r="1941" spans="2:33" ht="15" customHeight="1"/>
    <row r="1942" spans="2:33" ht="15" customHeight="1"/>
    <row r="1943" spans="2:33" ht="15" customHeight="1"/>
    <row r="1944" spans="2:33" ht="15" customHeight="1"/>
    <row r="1945" spans="2:33" ht="15" customHeight="1">
      <c r="B1945" s="626"/>
      <c r="C1945" s="626"/>
      <c r="D1945" s="626"/>
      <c r="E1945" s="626"/>
      <c r="F1945" s="626"/>
      <c r="G1945" s="626"/>
      <c r="H1945" s="626"/>
      <c r="I1945" s="626"/>
      <c r="J1945" s="626"/>
      <c r="K1945" s="626"/>
      <c r="L1945" s="626"/>
      <c r="M1945" s="626"/>
      <c r="N1945" s="626"/>
      <c r="O1945" s="626"/>
      <c r="P1945" s="626"/>
      <c r="Q1945" s="626"/>
      <c r="R1945" s="626"/>
      <c r="S1945" s="626"/>
      <c r="T1945" s="626"/>
      <c r="U1945" s="626"/>
      <c r="V1945" s="626"/>
      <c r="W1945" s="626"/>
      <c r="X1945" s="626"/>
      <c r="Y1945" s="626"/>
      <c r="Z1945" s="626"/>
      <c r="AA1945" s="626"/>
      <c r="AB1945" s="626"/>
      <c r="AC1945" s="626"/>
      <c r="AD1945" s="626"/>
      <c r="AE1945" s="626"/>
      <c r="AF1945" s="626"/>
      <c r="AG1945" s="626"/>
    </row>
    <row r="1946" spans="2:33" ht="15" customHeight="1"/>
    <row r="1947" spans="2:33" ht="15" customHeight="1"/>
    <row r="1948" spans="2:33" ht="15" customHeight="1"/>
    <row r="1949" spans="2:33" ht="15" customHeight="1"/>
    <row r="1950" spans="2:33" ht="15" customHeight="1"/>
    <row r="1951" spans="2:33" ht="15" customHeight="1"/>
    <row r="1952" spans="2:33" ht="15" customHeight="1"/>
    <row r="1953" ht="15" customHeight="1"/>
    <row r="1954" ht="15" customHeight="1"/>
    <row r="1955" ht="15" customHeight="1"/>
    <row r="1975" ht="15" customHeight="1"/>
    <row r="1976" ht="15" customHeight="1"/>
    <row r="1977" ht="15" customHeight="1"/>
    <row r="1978" ht="15" customHeight="1"/>
    <row r="1979" ht="15" customHeight="1"/>
    <row r="1980" ht="15" customHeight="1"/>
    <row r="1981" ht="15" customHeight="1"/>
    <row r="1982" ht="15" customHeight="1"/>
    <row r="1984" ht="15" customHeight="1"/>
    <row r="1985" ht="15" customHeight="1"/>
    <row r="1986" ht="15" customHeight="1"/>
    <row r="1988"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4" ht="15" customHeight="1"/>
    <row r="2006" ht="15" customHeight="1"/>
    <row r="2008" ht="15" customHeight="1"/>
    <row r="2009" ht="15" customHeight="1"/>
    <row r="2011" ht="15" customHeight="1"/>
    <row r="2012" ht="15" customHeight="1"/>
    <row r="2013" ht="15" customHeight="1"/>
    <row r="2014" ht="15" customHeight="1"/>
    <row r="2015" ht="15" customHeight="1"/>
    <row r="2016" ht="15" customHeight="1"/>
    <row r="2017" spans="2:33" ht="15" customHeight="1"/>
    <row r="2018" spans="2:33" ht="15" customHeight="1"/>
    <row r="2019" spans="2:33" ht="15" customHeight="1"/>
    <row r="2020" spans="2:33" ht="15" customHeight="1"/>
    <row r="2022" spans="2:33" ht="15" customHeight="1"/>
    <row r="2023" spans="2:33" ht="15" customHeight="1"/>
    <row r="2024" spans="2:33" ht="15" customHeight="1"/>
    <row r="2025" spans="2:33" ht="15" customHeight="1"/>
    <row r="2026" spans="2:33" ht="15" customHeight="1"/>
    <row r="2027" spans="2:33" ht="15" customHeight="1"/>
    <row r="2028" spans="2:33" ht="15" customHeight="1"/>
    <row r="2029" spans="2:33" ht="15" customHeight="1"/>
    <row r="2030" spans="2:33" ht="15" customHeight="1"/>
    <row r="2031" spans="2:33" ht="15" customHeight="1">
      <c r="B2031" s="626"/>
      <c r="C2031" s="626"/>
      <c r="D2031" s="626"/>
      <c r="E2031" s="626"/>
      <c r="F2031" s="626"/>
      <c r="G2031" s="626"/>
      <c r="H2031" s="626"/>
      <c r="I2031" s="626"/>
      <c r="J2031" s="626"/>
      <c r="K2031" s="626"/>
      <c r="L2031" s="626"/>
      <c r="M2031" s="626"/>
      <c r="N2031" s="626"/>
      <c r="O2031" s="626"/>
      <c r="P2031" s="626"/>
      <c r="Q2031" s="626"/>
      <c r="R2031" s="626"/>
      <c r="S2031" s="626"/>
      <c r="T2031" s="626"/>
      <c r="U2031" s="626"/>
      <c r="V2031" s="626"/>
      <c r="W2031" s="626"/>
      <c r="X2031" s="626"/>
      <c r="Y2031" s="626"/>
      <c r="Z2031" s="626"/>
      <c r="AA2031" s="626"/>
      <c r="AB2031" s="626"/>
      <c r="AC2031" s="626"/>
      <c r="AD2031" s="626"/>
      <c r="AE2031" s="626"/>
      <c r="AF2031" s="626"/>
      <c r="AG2031" s="626"/>
    </row>
    <row r="2032" spans="2:33"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100" ht="15" customHeight="1"/>
    <row r="2101" ht="15" customHeight="1"/>
    <row r="2102" ht="15" customHeight="1"/>
    <row r="2103" ht="15" customHeight="1"/>
    <row r="2104" ht="15" customHeight="1"/>
    <row r="2105" ht="15" customHeight="1"/>
    <row r="2107" ht="15" customHeight="1"/>
    <row r="2108"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4" ht="15" customHeight="1"/>
    <row r="2125" ht="15" customHeight="1"/>
    <row r="2126" ht="15" customHeight="1"/>
    <row r="2127" ht="15" customHeight="1"/>
    <row r="2128" ht="15" customHeight="1"/>
    <row r="2129" ht="15" customHeight="1"/>
    <row r="2131" ht="15" customHeight="1"/>
    <row r="2133" ht="15" customHeight="1"/>
    <row r="2134"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spans="2:33" ht="15" customHeight="1"/>
    <row r="2146" spans="2:33" ht="15" customHeight="1"/>
    <row r="2148" spans="2:33" ht="15" customHeight="1"/>
    <row r="2151" spans="2:33" ht="15" customHeight="1"/>
    <row r="2152" spans="2:33" ht="15" customHeight="1"/>
    <row r="2153" spans="2:33" ht="15" customHeight="1">
      <c r="B2153" s="626"/>
      <c r="C2153" s="626"/>
      <c r="D2153" s="626"/>
      <c r="E2153" s="626"/>
      <c r="F2153" s="626"/>
      <c r="G2153" s="626"/>
      <c r="H2153" s="626"/>
      <c r="I2153" s="626"/>
      <c r="J2153" s="626"/>
      <c r="K2153" s="626"/>
      <c r="L2153" s="626"/>
      <c r="M2153" s="626"/>
      <c r="N2153" s="626"/>
      <c r="O2153" s="626"/>
      <c r="P2153" s="626"/>
      <c r="Q2153" s="626"/>
      <c r="R2153" s="626"/>
      <c r="S2153" s="626"/>
      <c r="T2153" s="626"/>
      <c r="U2153" s="626"/>
      <c r="V2153" s="626"/>
      <c r="W2153" s="626"/>
      <c r="X2153" s="626"/>
      <c r="Y2153" s="626"/>
      <c r="Z2153" s="626"/>
      <c r="AA2153" s="626"/>
      <c r="AB2153" s="626"/>
      <c r="AC2153" s="626"/>
      <c r="AD2153" s="626"/>
      <c r="AE2153" s="626"/>
      <c r="AF2153" s="626"/>
      <c r="AG2153" s="626"/>
    </row>
    <row r="2154" spans="2:33" ht="15" customHeight="1"/>
    <row r="2155" spans="2:33" ht="15" customHeight="1"/>
    <row r="2156" spans="2:33" ht="15" customHeight="1"/>
    <row r="2157" spans="2:33" ht="15" customHeight="1"/>
    <row r="2158" spans="2:33" ht="15" customHeight="1"/>
    <row r="2159" spans="2:33" ht="15" customHeight="1"/>
    <row r="2160" spans="2:33" ht="15" customHeight="1"/>
    <row r="2161" ht="15" customHeight="1"/>
    <row r="2162"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60" ht="15" customHeight="1"/>
    <row r="2261" ht="15" customHeight="1"/>
    <row r="2262" ht="15" customHeight="1"/>
    <row r="2264" ht="15" customHeight="1"/>
    <row r="2266" ht="15" customHeight="1"/>
    <row r="2267" ht="15" customHeight="1"/>
    <row r="2268" ht="15" customHeight="1"/>
    <row r="2269" ht="15" customHeight="1"/>
    <row r="2271" ht="15" customHeight="1"/>
    <row r="2273" ht="15" customHeight="1"/>
    <row r="2274" ht="15" customHeight="1"/>
    <row r="2275" ht="15" customHeight="1"/>
    <row r="2276" ht="15" customHeight="1"/>
    <row r="2277" ht="15" customHeight="1"/>
    <row r="2278" ht="15" customHeight="1"/>
    <row r="2279" ht="15" customHeight="1"/>
    <row r="2280" ht="15" customHeight="1"/>
    <row r="2282" ht="15" customHeight="1"/>
    <row r="2284" ht="15" customHeight="1"/>
    <row r="2285" ht="15" customHeight="1"/>
    <row r="2286"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301" ht="15" customHeight="1"/>
    <row r="2302" ht="15" customHeight="1"/>
    <row r="2303" ht="15" customHeight="1"/>
    <row r="2305" spans="2:33" ht="15" customHeight="1"/>
    <row r="2306" spans="2:33" ht="15" customHeight="1"/>
    <row r="2307" spans="2:33" ht="15" customHeight="1"/>
    <row r="2308" spans="2:33" ht="15" customHeight="1"/>
    <row r="2309" spans="2:33" ht="15" customHeight="1"/>
    <row r="2310" spans="2:33" ht="15" customHeight="1"/>
    <row r="2311" spans="2:33" ht="15" customHeight="1"/>
    <row r="2312" spans="2:33" ht="15" customHeight="1"/>
    <row r="2313" spans="2:33" ht="15" customHeight="1"/>
    <row r="2314" spans="2:33" ht="15" customHeight="1"/>
    <row r="2315" spans="2:33" ht="15" customHeight="1"/>
    <row r="2316" spans="2:33" ht="15" customHeight="1"/>
    <row r="2317" spans="2:33" ht="15" customHeight="1">
      <c r="B2317" s="626"/>
      <c r="C2317" s="626"/>
      <c r="D2317" s="626"/>
      <c r="E2317" s="626"/>
      <c r="F2317" s="626"/>
      <c r="G2317" s="626"/>
      <c r="H2317" s="626"/>
      <c r="I2317" s="626"/>
      <c r="J2317" s="626"/>
      <c r="K2317" s="626"/>
      <c r="L2317" s="626"/>
      <c r="M2317" s="626"/>
      <c r="N2317" s="626"/>
      <c r="O2317" s="626"/>
      <c r="P2317" s="626"/>
      <c r="Q2317" s="626"/>
      <c r="R2317" s="626"/>
      <c r="S2317" s="626"/>
      <c r="T2317" s="626"/>
      <c r="U2317" s="626"/>
      <c r="V2317" s="626"/>
      <c r="W2317" s="626"/>
      <c r="X2317" s="626"/>
      <c r="Y2317" s="626"/>
      <c r="Z2317" s="626"/>
      <c r="AA2317" s="626"/>
      <c r="AB2317" s="626"/>
      <c r="AC2317" s="626"/>
      <c r="AD2317" s="626"/>
      <c r="AE2317" s="626"/>
      <c r="AF2317" s="626"/>
      <c r="AG2317" s="626"/>
    </row>
    <row r="2318" spans="2:33" ht="15" customHeight="1"/>
    <row r="2319" spans="2:33" ht="15" customHeight="1"/>
    <row r="2320" spans="2:33"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90" ht="15" customHeight="1"/>
    <row r="2391" ht="15" customHeight="1"/>
    <row r="2392" ht="15" customHeight="1"/>
    <row r="2393" ht="15" customHeight="1"/>
    <row r="2394" ht="15" customHeight="1"/>
    <row r="2395" ht="15" customHeight="1"/>
    <row r="2396" ht="15" customHeight="1"/>
    <row r="2397"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10" ht="15" customHeight="1"/>
    <row r="2411" ht="15" customHeight="1"/>
    <row r="2412" ht="15" customHeight="1"/>
    <row r="2413" ht="15" customHeight="1"/>
    <row r="2414" ht="15" customHeight="1"/>
    <row r="2415" ht="15" customHeight="1"/>
    <row r="2416" ht="15" customHeight="1"/>
    <row r="2417" spans="2:33" ht="15" customHeight="1"/>
    <row r="2418" spans="2:33" ht="15" customHeight="1"/>
    <row r="2419" spans="2:33" ht="15" customHeight="1">
      <c r="B2419" s="626"/>
      <c r="C2419" s="626"/>
      <c r="D2419" s="626"/>
      <c r="E2419" s="626"/>
      <c r="F2419" s="626"/>
      <c r="G2419" s="626"/>
      <c r="H2419" s="626"/>
      <c r="I2419" s="626"/>
      <c r="J2419" s="626"/>
      <c r="K2419" s="626"/>
      <c r="L2419" s="626"/>
      <c r="M2419" s="626"/>
      <c r="N2419" s="626"/>
      <c r="O2419" s="626"/>
      <c r="P2419" s="626"/>
      <c r="Q2419" s="626"/>
      <c r="R2419" s="626"/>
      <c r="S2419" s="626"/>
      <c r="T2419" s="626"/>
      <c r="U2419" s="626"/>
      <c r="V2419" s="626"/>
      <c r="W2419" s="626"/>
      <c r="X2419" s="626"/>
      <c r="Y2419" s="626"/>
      <c r="Z2419" s="626"/>
      <c r="AA2419" s="626"/>
      <c r="AB2419" s="626"/>
      <c r="AC2419" s="626"/>
      <c r="AD2419" s="626"/>
      <c r="AE2419" s="626"/>
      <c r="AF2419" s="626"/>
      <c r="AG2419" s="626"/>
    </row>
    <row r="2420" spans="2:33" ht="15" customHeight="1"/>
    <row r="2421" spans="2:33" ht="15" customHeight="1"/>
    <row r="2422" spans="2:33" ht="15" customHeight="1"/>
    <row r="2423" spans="2:33" ht="15" customHeight="1"/>
    <row r="2424" spans="2:33" ht="15" customHeight="1"/>
    <row r="2425" spans="2:33" ht="15" customHeight="1"/>
    <row r="2426" spans="2:33" ht="15" customHeight="1"/>
    <row r="2427" spans="2:33" ht="15" customHeight="1"/>
    <row r="2428" spans="2:33" ht="15" customHeight="1"/>
    <row r="2429" spans="2:33" ht="15" customHeight="1"/>
    <row r="2430" spans="2:33" ht="15" customHeight="1"/>
    <row r="2431" spans="2:33" ht="15" customHeight="1"/>
    <row r="2432" spans="2:33" ht="15" customHeight="1"/>
    <row r="2433" ht="15" customHeight="1"/>
    <row r="2434" ht="15" customHeight="1"/>
    <row r="2435" ht="15" customHeight="1"/>
    <row r="2436" ht="15" customHeight="1"/>
    <row r="2437" ht="15" customHeight="1"/>
    <row r="2450" ht="15" customHeight="1"/>
    <row r="2451" ht="15" customHeight="1"/>
    <row r="2452" ht="15" customHeight="1"/>
    <row r="2453" ht="15" customHeight="1"/>
    <row r="2454" ht="15" customHeight="1"/>
    <row r="2455" ht="15" customHeight="1"/>
    <row r="2457" ht="15" customHeight="1"/>
    <row r="2459" ht="15" customHeight="1"/>
    <row r="2461" ht="15" customHeight="1"/>
    <row r="2462" ht="15" customHeight="1"/>
    <row r="2463" ht="15" customHeight="1"/>
    <row r="2464" ht="15" customHeight="1"/>
    <row r="2465" ht="15" customHeight="1"/>
    <row r="2467" ht="15" customHeight="1"/>
    <row r="2468" ht="15" customHeight="1"/>
    <row r="2469" ht="15" customHeight="1"/>
    <row r="2470" ht="15" customHeight="1"/>
    <row r="2471" ht="15" customHeight="1"/>
    <row r="2472" ht="15" customHeight="1"/>
    <row r="2473"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6" ht="15" customHeight="1"/>
    <row r="2488" ht="15" customHeight="1"/>
    <row r="2489" ht="15" customHeight="1"/>
    <row r="2490" ht="15" customHeight="1"/>
    <row r="2491" ht="15" customHeight="1"/>
    <row r="2492" ht="15" customHeight="1"/>
    <row r="2495" ht="15" customHeight="1"/>
    <row r="2496" ht="15" customHeight="1"/>
    <row r="2498" spans="2:33" ht="15" customHeight="1"/>
    <row r="2499" spans="2:33" ht="15" customHeight="1"/>
    <row r="2500" spans="2:33" ht="15" customHeight="1"/>
    <row r="2501" spans="2:33" ht="15" customHeight="1"/>
    <row r="2502" spans="2:33" ht="15" customHeight="1"/>
    <row r="2504" spans="2:33" ht="15" customHeight="1"/>
    <row r="2505" spans="2:33" ht="15" customHeight="1"/>
    <row r="2506" spans="2:33" ht="15" customHeight="1"/>
    <row r="2507" spans="2:33" ht="15" customHeight="1"/>
    <row r="2508" spans="2:33" ht="15" customHeight="1"/>
    <row r="2509" spans="2:33" ht="15" customHeight="1">
      <c r="B2509" s="626"/>
      <c r="C2509" s="626"/>
      <c r="D2509" s="626"/>
      <c r="E2509" s="626"/>
      <c r="F2509" s="626"/>
      <c r="G2509" s="626"/>
      <c r="H2509" s="626"/>
      <c r="I2509" s="626"/>
      <c r="J2509" s="626"/>
      <c r="K2509" s="626"/>
      <c r="L2509" s="626"/>
      <c r="M2509" s="626"/>
      <c r="N2509" s="626"/>
      <c r="O2509" s="626"/>
      <c r="P2509" s="626"/>
      <c r="Q2509" s="626"/>
      <c r="R2509" s="626"/>
      <c r="S2509" s="626"/>
      <c r="T2509" s="626"/>
      <c r="U2509" s="626"/>
      <c r="V2509" s="626"/>
      <c r="W2509" s="626"/>
      <c r="X2509" s="626"/>
      <c r="Y2509" s="626"/>
      <c r="Z2509" s="626"/>
      <c r="AA2509" s="626"/>
      <c r="AB2509" s="626"/>
      <c r="AC2509" s="626"/>
      <c r="AD2509" s="626"/>
      <c r="AE2509" s="626"/>
      <c r="AF2509" s="626"/>
      <c r="AG2509" s="626"/>
    </row>
    <row r="2510" spans="2:33" ht="15" customHeight="1"/>
    <row r="2511" spans="2:33" ht="15" customHeight="1"/>
    <row r="2512" spans="2:33"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1" ht="15" customHeight="1"/>
    <row r="2562" ht="15" customHeight="1"/>
    <row r="2563" ht="15" customHeight="1"/>
    <row r="2564" ht="15" customHeight="1"/>
    <row r="2565" ht="15" customHeight="1"/>
    <row r="2566" ht="15" customHeight="1"/>
    <row r="2568" ht="15" customHeight="1"/>
    <row r="2569" ht="15" customHeight="1"/>
    <row r="2570" ht="15" customHeight="1"/>
    <row r="2571" ht="15" customHeight="1"/>
    <row r="2572" ht="15" customHeight="1"/>
    <row r="2573" ht="15" customHeight="1"/>
    <row r="2575" ht="15" customHeight="1"/>
    <row r="2576" ht="15" customHeight="1"/>
    <row r="2577" ht="15" customHeight="1"/>
    <row r="2578" ht="15" customHeight="1"/>
    <row r="2579" ht="15" customHeight="1"/>
    <row r="2581" ht="15" customHeight="1"/>
    <row r="2582" ht="15" customHeight="1"/>
    <row r="2583" ht="15" customHeight="1"/>
    <row r="2584" ht="15" customHeight="1"/>
    <row r="2585" ht="15" customHeight="1"/>
    <row r="2586" ht="15" customHeight="1"/>
    <row r="2588" ht="15" customHeight="1"/>
    <row r="2589" ht="15" customHeight="1"/>
    <row r="2590" ht="15" customHeight="1"/>
    <row r="2591" ht="15" customHeight="1"/>
    <row r="2592" ht="15" customHeight="1"/>
    <row r="2593" spans="2:33" ht="15" customHeight="1"/>
    <row r="2595" spans="2:33" ht="15" customHeight="1"/>
    <row r="2596" spans="2:33" ht="15" customHeight="1"/>
    <row r="2597" spans="2:33" ht="15" customHeight="1"/>
    <row r="2598" spans="2:33" ht="15" customHeight="1">
      <c r="B2598" s="626"/>
      <c r="C2598" s="626"/>
      <c r="D2598" s="626"/>
      <c r="E2598" s="626"/>
      <c r="F2598" s="626"/>
      <c r="G2598" s="626"/>
      <c r="H2598" s="626"/>
      <c r="I2598" s="626"/>
      <c r="J2598" s="626"/>
      <c r="K2598" s="626"/>
      <c r="L2598" s="626"/>
      <c r="M2598" s="626"/>
      <c r="N2598" s="626"/>
      <c r="O2598" s="626"/>
      <c r="P2598" s="626"/>
      <c r="Q2598" s="626"/>
      <c r="R2598" s="626"/>
      <c r="S2598" s="626"/>
      <c r="T2598" s="626"/>
      <c r="U2598" s="626"/>
      <c r="V2598" s="626"/>
      <c r="W2598" s="626"/>
      <c r="X2598" s="626"/>
      <c r="Y2598" s="626"/>
      <c r="Z2598" s="626"/>
      <c r="AA2598" s="626"/>
      <c r="AB2598" s="626"/>
      <c r="AC2598" s="626"/>
      <c r="AD2598" s="626"/>
      <c r="AE2598" s="626"/>
      <c r="AF2598" s="626"/>
      <c r="AG2598" s="626"/>
    </row>
    <row r="2599" spans="2:33" ht="15" customHeight="1"/>
    <row r="2600" spans="2:33" ht="15" customHeight="1"/>
    <row r="2601" spans="2:33" ht="15" customHeight="1"/>
    <row r="2602" spans="2:33" ht="15" customHeight="1"/>
    <row r="2603" spans="2:33" ht="15" customHeight="1"/>
    <row r="2604" spans="2:33" ht="15" customHeight="1"/>
    <row r="2605" spans="2:33" ht="15" customHeight="1"/>
    <row r="2606" spans="2:33" ht="15" customHeight="1"/>
    <row r="2607" spans="2:33" ht="15" customHeight="1"/>
    <row r="2608" spans="2:33" ht="15" customHeight="1"/>
    <row r="2609" ht="15" customHeight="1"/>
    <row r="2610" ht="15" customHeight="1"/>
    <row r="2611" ht="15" customHeight="1"/>
    <row r="2612" ht="15" customHeight="1"/>
    <row r="2613" ht="15" customHeight="1"/>
    <row r="2614" ht="15" customHeight="1"/>
    <row r="2615"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7" spans="2:33" ht="15" customHeight="1"/>
    <row r="2708" spans="2:33" ht="15" customHeight="1"/>
    <row r="2709" spans="2:33" ht="15" customHeight="1"/>
    <row r="2710" spans="2:33" ht="15" customHeight="1"/>
    <row r="2711" spans="2:33" ht="15" customHeight="1"/>
    <row r="2712" spans="2:33" ht="15" customHeight="1"/>
    <row r="2713" spans="2:33" ht="15" customHeight="1"/>
    <row r="2714" spans="2:33" ht="15" customHeight="1"/>
    <row r="2715" spans="2:33" ht="15" customHeight="1"/>
    <row r="2716" spans="2:33" ht="15" customHeight="1"/>
    <row r="2717" spans="2:33" ht="15" customHeight="1"/>
    <row r="2718" spans="2:33" ht="15" customHeight="1"/>
    <row r="2719" spans="2:33" ht="15" customHeight="1">
      <c r="B2719" s="626"/>
      <c r="C2719" s="626"/>
      <c r="D2719" s="626"/>
      <c r="E2719" s="626"/>
      <c r="F2719" s="626"/>
      <c r="G2719" s="626"/>
      <c r="H2719" s="626"/>
      <c r="I2719" s="626"/>
      <c r="J2719" s="626"/>
      <c r="K2719" s="626"/>
      <c r="L2719" s="626"/>
      <c r="M2719" s="626"/>
      <c r="N2719" s="626"/>
      <c r="O2719" s="626"/>
      <c r="P2719" s="626"/>
      <c r="Q2719" s="626"/>
      <c r="R2719" s="626"/>
      <c r="S2719" s="626"/>
      <c r="T2719" s="626"/>
      <c r="U2719" s="626"/>
      <c r="V2719" s="626"/>
      <c r="W2719" s="626"/>
      <c r="X2719" s="626"/>
      <c r="Y2719" s="626"/>
      <c r="Z2719" s="626"/>
      <c r="AA2719" s="626"/>
      <c r="AB2719" s="626"/>
      <c r="AC2719" s="626"/>
      <c r="AD2719" s="626"/>
      <c r="AE2719" s="626"/>
      <c r="AF2719" s="626"/>
      <c r="AG2719" s="626"/>
    </row>
    <row r="2720" spans="2:33"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8" ht="15" customHeight="1"/>
    <row r="2789" ht="15" customHeight="1"/>
    <row r="2790" ht="15" customHeight="1"/>
    <row r="2791"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4" ht="15" customHeight="1"/>
    <row r="2805" ht="15" customHeight="1"/>
    <row r="2806" ht="15" customHeight="1"/>
    <row r="2807" ht="15" customHeight="1"/>
    <row r="2809" ht="15" customHeight="1"/>
    <row r="2810" ht="15" customHeight="1"/>
    <row r="2811" ht="15" customHeight="1"/>
    <row r="2812" ht="15" customHeight="1"/>
    <row r="2813" ht="15" customHeight="1"/>
    <row r="2814" ht="15" customHeight="1"/>
    <row r="2815" ht="15" customHeight="1"/>
    <row r="2816" ht="15" customHeight="1"/>
    <row r="2818" ht="15" customHeight="1"/>
    <row r="2819" ht="15" customHeight="1"/>
    <row r="2820" ht="15" customHeight="1"/>
    <row r="2821" ht="15" customHeight="1"/>
    <row r="2822" ht="15" customHeight="1"/>
    <row r="2823" ht="15" customHeight="1"/>
    <row r="2825" ht="15" customHeight="1"/>
    <row r="2826" ht="15" customHeight="1"/>
    <row r="2827" ht="15" customHeight="1"/>
    <row r="2828" ht="15" customHeight="1"/>
    <row r="2831" ht="15" customHeight="1"/>
    <row r="2832" ht="15" customHeight="1"/>
    <row r="2833" spans="2:33" ht="15" customHeight="1"/>
    <row r="2834" spans="2:33" ht="15" customHeight="1"/>
    <row r="2835" spans="2:33" ht="15" customHeight="1"/>
    <row r="2836" spans="2:33" ht="15" customHeight="1"/>
    <row r="2837" spans="2:33" ht="15" customHeight="1">
      <c r="B2837" s="626"/>
      <c r="C2837" s="626"/>
      <c r="D2837" s="626"/>
      <c r="E2837" s="626"/>
      <c r="F2837" s="626"/>
      <c r="G2837" s="626"/>
      <c r="H2837" s="626"/>
      <c r="I2837" s="626"/>
      <c r="J2837" s="626"/>
      <c r="K2837" s="626"/>
      <c r="L2837" s="626"/>
      <c r="M2837" s="626"/>
      <c r="N2837" s="626"/>
      <c r="O2837" s="626"/>
      <c r="P2837" s="626"/>
      <c r="Q2837" s="626"/>
      <c r="R2837" s="626"/>
      <c r="S2837" s="626"/>
      <c r="T2837" s="626"/>
      <c r="U2837" s="626"/>
      <c r="V2837" s="626"/>
      <c r="W2837" s="626"/>
      <c r="X2837" s="626"/>
      <c r="Y2837" s="626"/>
      <c r="Z2837" s="626"/>
      <c r="AA2837" s="626"/>
      <c r="AB2837" s="626"/>
      <c r="AC2837" s="626"/>
      <c r="AD2837" s="626"/>
      <c r="AE2837" s="626"/>
      <c r="AF2837" s="626"/>
      <c r="AG2837" s="626"/>
    </row>
    <row r="2838" spans="2:33" ht="15" customHeight="1"/>
    <row r="2839" spans="2:33" ht="15" customHeight="1"/>
    <row r="2840" spans="2:33" ht="15" customHeight="1"/>
    <row r="2841" spans="2:33" ht="15" customHeight="1"/>
  </sheetData>
  <mergeCells count="20">
    <mergeCell ref="B1945:AG1945"/>
    <mergeCell ref="B112:AG112"/>
    <mergeCell ref="B308:AG308"/>
    <mergeCell ref="B511:AG511"/>
    <mergeCell ref="B712:AG712"/>
    <mergeCell ref="B887:AG887"/>
    <mergeCell ref="B1100:AG1100"/>
    <mergeCell ref="B1227:AG1227"/>
    <mergeCell ref="B1390:AG1390"/>
    <mergeCell ref="B1502:AG1502"/>
    <mergeCell ref="B1604:AG1604"/>
    <mergeCell ref="B1698:AG1698"/>
    <mergeCell ref="B2719:AG2719"/>
    <mergeCell ref="B2837:AG2837"/>
    <mergeCell ref="B2031:AG2031"/>
    <mergeCell ref="B2153:AG2153"/>
    <mergeCell ref="B2317:AG2317"/>
    <mergeCell ref="B2419:AG2419"/>
    <mergeCell ref="B2509:AG2509"/>
    <mergeCell ref="B2598:AG2598"/>
  </mergeCells>
  <hyperlinks>
    <hyperlink ref="B4" r:id="rId1" display="https://www.eia.gov/outlooks/aeo/tables_ref.php" xr:uid="{14B9DD13-A234-43A3-9D17-483B45578C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A9A15-2BD7-434F-B70A-A46FF6F2F297}">
  <sheetPr>
    <tabColor theme="2" tint="-0.249977111117893"/>
    <pageSetUpPr fitToPage="1"/>
  </sheetPr>
  <dimension ref="B1:I2"/>
  <sheetViews>
    <sheetView zoomScale="130" zoomScaleNormal="130" workbookViewId="0">
      <selection activeCell="B2" sqref="B2"/>
    </sheetView>
  </sheetViews>
  <sheetFormatPr defaultRowHeight="12.75"/>
  <cols>
    <col min="1" max="1" width="8.5703125" style="128" customWidth="1"/>
    <col min="2" max="2" width="16.28515625" style="133" customWidth="1"/>
    <col min="3" max="3" width="27.28515625" style="128" customWidth="1"/>
    <col min="4" max="4" width="50.140625" style="128" customWidth="1"/>
    <col min="5" max="5" width="28" style="128" customWidth="1"/>
    <col min="6" max="6" width="18.85546875" style="134" customWidth="1"/>
    <col min="7" max="7" width="20" style="134" customWidth="1"/>
    <col min="8" max="8" width="15.42578125" style="135" customWidth="1"/>
    <col min="9" max="9" width="9.140625" style="136" customWidth="1"/>
    <col min="10" max="10" width="22.42578125" style="128" customWidth="1"/>
    <col min="11" max="11" width="17.5703125" style="128" customWidth="1"/>
    <col min="12" max="256" width="9.140625" style="128"/>
    <col min="257" max="257" width="8.5703125" style="128" customWidth="1"/>
    <col min="258" max="258" width="15" style="128" customWidth="1"/>
    <col min="259" max="259" width="27.28515625" style="128" customWidth="1"/>
    <col min="260" max="260" width="50.140625" style="128" customWidth="1"/>
    <col min="261" max="261" width="28" style="128" customWidth="1"/>
    <col min="262" max="262" width="11.5703125" style="128" customWidth="1"/>
    <col min="263" max="263" width="11.42578125" style="128" customWidth="1"/>
    <col min="264" max="264" width="10.140625" style="128" bestFit="1" customWidth="1"/>
    <col min="265" max="265" width="9.140625" style="128"/>
    <col min="266" max="266" width="22.42578125" style="128" customWidth="1"/>
    <col min="267" max="267" width="10.85546875" style="128" customWidth="1"/>
    <col min="268" max="512" width="9.140625" style="128"/>
    <col min="513" max="513" width="8.5703125" style="128" customWidth="1"/>
    <col min="514" max="514" width="15" style="128" customWidth="1"/>
    <col min="515" max="515" width="27.28515625" style="128" customWidth="1"/>
    <col min="516" max="516" width="50.140625" style="128" customWidth="1"/>
    <col min="517" max="517" width="28" style="128" customWidth="1"/>
    <col min="518" max="518" width="11.5703125" style="128" customWidth="1"/>
    <col min="519" max="519" width="11.42578125" style="128" customWidth="1"/>
    <col min="520" max="520" width="10.140625" style="128" bestFit="1" customWidth="1"/>
    <col min="521" max="521" width="9.140625" style="128"/>
    <col min="522" max="522" width="22.42578125" style="128" customWidth="1"/>
    <col min="523" max="523" width="10.85546875" style="128" customWidth="1"/>
    <col min="524" max="768" width="9.140625" style="128"/>
    <col min="769" max="769" width="8.5703125" style="128" customWidth="1"/>
    <col min="770" max="770" width="15" style="128" customWidth="1"/>
    <col min="771" max="771" width="27.28515625" style="128" customWidth="1"/>
    <col min="772" max="772" width="50.140625" style="128" customWidth="1"/>
    <col min="773" max="773" width="28" style="128" customWidth="1"/>
    <col min="774" max="774" width="11.5703125" style="128" customWidth="1"/>
    <col min="775" max="775" width="11.42578125" style="128" customWidth="1"/>
    <col min="776" max="776" width="10.140625" style="128" bestFit="1" customWidth="1"/>
    <col min="777" max="777" width="9.140625" style="128"/>
    <col min="778" max="778" width="22.42578125" style="128" customWidth="1"/>
    <col min="779" max="779" width="10.85546875" style="128" customWidth="1"/>
    <col min="780" max="1024" width="9.140625" style="128"/>
    <col min="1025" max="1025" width="8.5703125" style="128" customWidth="1"/>
    <col min="1026" max="1026" width="15" style="128" customWidth="1"/>
    <col min="1027" max="1027" width="27.28515625" style="128" customWidth="1"/>
    <col min="1028" max="1028" width="50.140625" style="128" customWidth="1"/>
    <col min="1029" max="1029" width="28" style="128" customWidth="1"/>
    <col min="1030" max="1030" width="11.5703125" style="128" customWidth="1"/>
    <col min="1031" max="1031" width="11.42578125" style="128" customWidth="1"/>
    <col min="1032" max="1032" width="10.140625" style="128" bestFit="1" customWidth="1"/>
    <col min="1033" max="1033" width="9.140625" style="128"/>
    <col min="1034" max="1034" width="22.42578125" style="128" customWidth="1"/>
    <col min="1035" max="1035" width="10.85546875" style="128" customWidth="1"/>
    <col min="1036" max="1280" width="9.140625" style="128"/>
    <col min="1281" max="1281" width="8.5703125" style="128" customWidth="1"/>
    <col min="1282" max="1282" width="15" style="128" customWidth="1"/>
    <col min="1283" max="1283" width="27.28515625" style="128" customWidth="1"/>
    <col min="1284" max="1284" width="50.140625" style="128" customWidth="1"/>
    <col min="1285" max="1285" width="28" style="128" customWidth="1"/>
    <col min="1286" max="1286" width="11.5703125" style="128" customWidth="1"/>
    <col min="1287" max="1287" width="11.42578125" style="128" customWidth="1"/>
    <col min="1288" max="1288" width="10.140625" style="128" bestFit="1" customWidth="1"/>
    <col min="1289" max="1289" width="9.140625" style="128"/>
    <col min="1290" max="1290" width="22.42578125" style="128" customWidth="1"/>
    <col min="1291" max="1291" width="10.85546875" style="128" customWidth="1"/>
    <col min="1292" max="1536" width="9.140625" style="128"/>
    <col min="1537" max="1537" width="8.5703125" style="128" customWidth="1"/>
    <col min="1538" max="1538" width="15" style="128" customWidth="1"/>
    <col min="1539" max="1539" width="27.28515625" style="128" customWidth="1"/>
    <col min="1540" max="1540" width="50.140625" style="128" customWidth="1"/>
    <col min="1541" max="1541" width="28" style="128" customWidth="1"/>
    <col min="1542" max="1542" width="11.5703125" style="128" customWidth="1"/>
    <col min="1543" max="1543" width="11.42578125" style="128" customWidth="1"/>
    <col min="1544" max="1544" width="10.140625" style="128" bestFit="1" customWidth="1"/>
    <col min="1545" max="1545" width="9.140625" style="128"/>
    <col min="1546" max="1546" width="22.42578125" style="128" customWidth="1"/>
    <col min="1547" max="1547" width="10.85546875" style="128" customWidth="1"/>
    <col min="1548" max="1792" width="9.140625" style="128"/>
    <col min="1793" max="1793" width="8.5703125" style="128" customWidth="1"/>
    <col min="1794" max="1794" width="15" style="128" customWidth="1"/>
    <col min="1795" max="1795" width="27.28515625" style="128" customWidth="1"/>
    <col min="1796" max="1796" width="50.140625" style="128" customWidth="1"/>
    <col min="1797" max="1797" width="28" style="128" customWidth="1"/>
    <col min="1798" max="1798" width="11.5703125" style="128" customWidth="1"/>
    <col min="1799" max="1799" width="11.42578125" style="128" customWidth="1"/>
    <col min="1800" max="1800" width="10.140625" style="128" bestFit="1" customWidth="1"/>
    <col min="1801" max="1801" width="9.140625" style="128"/>
    <col min="1802" max="1802" width="22.42578125" style="128" customWidth="1"/>
    <col min="1803" max="1803" width="10.85546875" style="128" customWidth="1"/>
    <col min="1804" max="2048" width="9.140625" style="128"/>
    <col min="2049" max="2049" width="8.5703125" style="128" customWidth="1"/>
    <col min="2050" max="2050" width="15" style="128" customWidth="1"/>
    <col min="2051" max="2051" width="27.28515625" style="128" customWidth="1"/>
    <col min="2052" max="2052" width="50.140625" style="128" customWidth="1"/>
    <col min="2053" max="2053" width="28" style="128" customWidth="1"/>
    <col min="2054" max="2054" width="11.5703125" style="128" customWidth="1"/>
    <col min="2055" max="2055" width="11.42578125" style="128" customWidth="1"/>
    <col min="2056" max="2056" width="10.140625" style="128" bestFit="1" customWidth="1"/>
    <col min="2057" max="2057" width="9.140625" style="128"/>
    <col min="2058" max="2058" width="22.42578125" style="128" customWidth="1"/>
    <col min="2059" max="2059" width="10.85546875" style="128" customWidth="1"/>
    <col min="2060" max="2304" width="9.140625" style="128"/>
    <col min="2305" max="2305" width="8.5703125" style="128" customWidth="1"/>
    <col min="2306" max="2306" width="15" style="128" customWidth="1"/>
    <col min="2307" max="2307" width="27.28515625" style="128" customWidth="1"/>
    <col min="2308" max="2308" width="50.140625" style="128" customWidth="1"/>
    <col min="2309" max="2309" width="28" style="128" customWidth="1"/>
    <col min="2310" max="2310" width="11.5703125" style="128" customWidth="1"/>
    <col min="2311" max="2311" width="11.42578125" style="128" customWidth="1"/>
    <col min="2312" max="2312" width="10.140625" style="128" bestFit="1" customWidth="1"/>
    <col min="2313" max="2313" width="9.140625" style="128"/>
    <col min="2314" max="2314" width="22.42578125" style="128" customWidth="1"/>
    <col min="2315" max="2315" width="10.85546875" style="128" customWidth="1"/>
    <col min="2316" max="2560" width="9.140625" style="128"/>
    <col min="2561" max="2561" width="8.5703125" style="128" customWidth="1"/>
    <col min="2562" max="2562" width="15" style="128" customWidth="1"/>
    <col min="2563" max="2563" width="27.28515625" style="128" customWidth="1"/>
    <col min="2564" max="2564" width="50.140625" style="128" customWidth="1"/>
    <col min="2565" max="2565" width="28" style="128" customWidth="1"/>
    <col min="2566" max="2566" width="11.5703125" style="128" customWidth="1"/>
    <col min="2567" max="2567" width="11.42578125" style="128" customWidth="1"/>
    <col min="2568" max="2568" width="10.140625" style="128" bestFit="1" customWidth="1"/>
    <col min="2569" max="2569" width="9.140625" style="128"/>
    <col min="2570" max="2570" width="22.42578125" style="128" customWidth="1"/>
    <col min="2571" max="2571" width="10.85546875" style="128" customWidth="1"/>
    <col min="2572" max="2816" width="9.140625" style="128"/>
    <col min="2817" max="2817" width="8.5703125" style="128" customWidth="1"/>
    <col min="2818" max="2818" width="15" style="128" customWidth="1"/>
    <col min="2819" max="2819" width="27.28515625" style="128" customWidth="1"/>
    <col min="2820" max="2820" width="50.140625" style="128" customWidth="1"/>
    <col min="2821" max="2821" width="28" style="128" customWidth="1"/>
    <col min="2822" max="2822" width="11.5703125" style="128" customWidth="1"/>
    <col min="2823" max="2823" width="11.42578125" style="128" customWidth="1"/>
    <col min="2824" max="2824" width="10.140625" style="128" bestFit="1" customWidth="1"/>
    <col min="2825" max="2825" width="9.140625" style="128"/>
    <col min="2826" max="2826" width="22.42578125" style="128" customWidth="1"/>
    <col min="2827" max="2827" width="10.85546875" style="128" customWidth="1"/>
    <col min="2828" max="3072" width="9.140625" style="128"/>
    <col min="3073" max="3073" width="8.5703125" style="128" customWidth="1"/>
    <col min="3074" max="3074" width="15" style="128" customWidth="1"/>
    <col min="3075" max="3075" width="27.28515625" style="128" customWidth="1"/>
    <col min="3076" max="3076" width="50.140625" style="128" customWidth="1"/>
    <col min="3077" max="3077" width="28" style="128" customWidth="1"/>
    <col min="3078" max="3078" width="11.5703125" style="128" customWidth="1"/>
    <col min="3079" max="3079" width="11.42578125" style="128" customWidth="1"/>
    <col min="3080" max="3080" width="10.140625" style="128" bestFit="1" customWidth="1"/>
    <col min="3081" max="3081" width="9.140625" style="128"/>
    <col min="3082" max="3082" width="22.42578125" style="128" customWidth="1"/>
    <col min="3083" max="3083" width="10.85546875" style="128" customWidth="1"/>
    <col min="3084" max="3328" width="9.140625" style="128"/>
    <col min="3329" max="3329" width="8.5703125" style="128" customWidth="1"/>
    <col min="3330" max="3330" width="15" style="128" customWidth="1"/>
    <col min="3331" max="3331" width="27.28515625" style="128" customWidth="1"/>
    <col min="3332" max="3332" width="50.140625" style="128" customWidth="1"/>
    <col min="3333" max="3333" width="28" style="128" customWidth="1"/>
    <col min="3334" max="3334" width="11.5703125" style="128" customWidth="1"/>
    <col min="3335" max="3335" width="11.42578125" style="128" customWidth="1"/>
    <col min="3336" max="3336" width="10.140625" style="128" bestFit="1" customWidth="1"/>
    <col min="3337" max="3337" width="9.140625" style="128"/>
    <col min="3338" max="3338" width="22.42578125" style="128" customWidth="1"/>
    <col min="3339" max="3339" width="10.85546875" style="128" customWidth="1"/>
    <col min="3340" max="3584" width="9.140625" style="128"/>
    <col min="3585" max="3585" width="8.5703125" style="128" customWidth="1"/>
    <col min="3586" max="3586" width="15" style="128" customWidth="1"/>
    <col min="3587" max="3587" width="27.28515625" style="128" customWidth="1"/>
    <col min="3588" max="3588" width="50.140625" style="128" customWidth="1"/>
    <col min="3589" max="3589" width="28" style="128" customWidth="1"/>
    <col min="3590" max="3590" width="11.5703125" style="128" customWidth="1"/>
    <col min="3591" max="3591" width="11.42578125" style="128" customWidth="1"/>
    <col min="3592" max="3592" width="10.140625" style="128" bestFit="1" customWidth="1"/>
    <col min="3593" max="3593" width="9.140625" style="128"/>
    <col min="3594" max="3594" width="22.42578125" style="128" customWidth="1"/>
    <col min="3595" max="3595" width="10.85546875" style="128" customWidth="1"/>
    <col min="3596" max="3840" width="9.140625" style="128"/>
    <col min="3841" max="3841" width="8.5703125" style="128" customWidth="1"/>
    <col min="3842" max="3842" width="15" style="128" customWidth="1"/>
    <col min="3843" max="3843" width="27.28515625" style="128" customWidth="1"/>
    <col min="3844" max="3844" width="50.140625" style="128" customWidth="1"/>
    <col min="3845" max="3845" width="28" style="128" customWidth="1"/>
    <col min="3846" max="3846" width="11.5703125" style="128" customWidth="1"/>
    <col min="3847" max="3847" width="11.42578125" style="128" customWidth="1"/>
    <col min="3848" max="3848" width="10.140625" style="128" bestFit="1" customWidth="1"/>
    <col min="3849" max="3849" width="9.140625" style="128"/>
    <col min="3850" max="3850" width="22.42578125" style="128" customWidth="1"/>
    <col min="3851" max="3851" width="10.85546875" style="128" customWidth="1"/>
    <col min="3852" max="4096" width="9.140625" style="128"/>
    <col min="4097" max="4097" width="8.5703125" style="128" customWidth="1"/>
    <col min="4098" max="4098" width="15" style="128" customWidth="1"/>
    <col min="4099" max="4099" width="27.28515625" style="128" customWidth="1"/>
    <col min="4100" max="4100" width="50.140625" style="128" customWidth="1"/>
    <col min="4101" max="4101" width="28" style="128" customWidth="1"/>
    <col min="4102" max="4102" width="11.5703125" style="128" customWidth="1"/>
    <col min="4103" max="4103" width="11.42578125" style="128" customWidth="1"/>
    <col min="4104" max="4104" width="10.140625" style="128" bestFit="1" customWidth="1"/>
    <col min="4105" max="4105" width="9.140625" style="128"/>
    <col min="4106" max="4106" width="22.42578125" style="128" customWidth="1"/>
    <col min="4107" max="4107" width="10.85546875" style="128" customWidth="1"/>
    <col min="4108" max="4352" width="9.140625" style="128"/>
    <col min="4353" max="4353" width="8.5703125" style="128" customWidth="1"/>
    <col min="4354" max="4354" width="15" style="128" customWidth="1"/>
    <col min="4355" max="4355" width="27.28515625" style="128" customWidth="1"/>
    <col min="4356" max="4356" width="50.140625" style="128" customWidth="1"/>
    <col min="4357" max="4357" width="28" style="128" customWidth="1"/>
    <col min="4358" max="4358" width="11.5703125" style="128" customWidth="1"/>
    <col min="4359" max="4359" width="11.42578125" style="128" customWidth="1"/>
    <col min="4360" max="4360" width="10.140625" style="128" bestFit="1" customWidth="1"/>
    <col min="4361" max="4361" width="9.140625" style="128"/>
    <col min="4362" max="4362" width="22.42578125" style="128" customWidth="1"/>
    <col min="4363" max="4363" width="10.85546875" style="128" customWidth="1"/>
    <col min="4364" max="4608" width="9.140625" style="128"/>
    <col min="4609" max="4609" width="8.5703125" style="128" customWidth="1"/>
    <col min="4610" max="4610" width="15" style="128" customWidth="1"/>
    <col min="4611" max="4611" width="27.28515625" style="128" customWidth="1"/>
    <col min="4612" max="4612" width="50.140625" style="128" customWidth="1"/>
    <col min="4613" max="4613" width="28" style="128" customWidth="1"/>
    <col min="4614" max="4614" width="11.5703125" style="128" customWidth="1"/>
    <col min="4615" max="4615" width="11.42578125" style="128" customWidth="1"/>
    <col min="4616" max="4616" width="10.140625" style="128" bestFit="1" customWidth="1"/>
    <col min="4617" max="4617" width="9.140625" style="128"/>
    <col min="4618" max="4618" width="22.42578125" style="128" customWidth="1"/>
    <col min="4619" max="4619" width="10.85546875" style="128" customWidth="1"/>
    <col min="4620" max="4864" width="9.140625" style="128"/>
    <col min="4865" max="4865" width="8.5703125" style="128" customWidth="1"/>
    <col min="4866" max="4866" width="15" style="128" customWidth="1"/>
    <col min="4867" max="4867" width="27.28515625" style="128" customWidth="1"/>
    <col min="4868" max="4868" width="50.140625" style="128" customWidth="1"/>
    <col min="4869" max="4869" width="28" style="128" customWidth="1"/>
    <col min="4870" max="4870" width="11.5703125" style="128" customWidth="1"/>
    <col min="4871" max="4871" width="11.42578125" style="128" customWidth="1"/>
    <col min="4872" max="4872" width="10.140625" style="128" bestFit="1" customWidth="1"/>
    <col min="4873" max="4873" width="9.140625" style="128"/>
    <col min="4874" max="4874" width="22.42578125" style="128" customWidth="1"/>
    <col min="4875" max="4875" width="10.85546875" style="128" customWidth="1"/>
    <col min="4876" max="5120" width="9.140625" style="128"/>
    <col min="5121" max="5121" width="8.5703125" style="128" customWidth="1"/>
    <col min="5122" max="5122" width="15" style="128" customWidth="1"/>
    <col min="5123" max="5123" width="27.28515625" style="128" customWidth="1"/>
    <col min="5124" max="5124" width="50.140625" style="128" customWidth="1"/>
    <col min="5125" max="5125" width="28" style="128" customWidth="1"/>
    <col min="5126" max="5126" width="11.5703125" style="128" customWidth="1"/>
    <col min="5127" max="5127" width="11.42578125" style="128" customWidth="1"/>
    <col min="5128" max="5128" width="10.140625" style="128" bestFit="1" customWidth="1"/>
    <col min="5129" max="5129" width="9.140625" style="128"/>
    <col min="5130" max="5130" width="22.42578125" style="128" customWidth="1"/>
    <col min="5131" max="5131" width="10.85546875" style="128" customWidth="1"/>
    <col min="5132" max="5376" width="9.140625" style="128"/>
    <col min="5377" max="5377" width="8.5703125" style="128" customWidth="1"/>
    <col min="5378" max="5378" width="15" style="128" customWidth="1"/>
    <col min="5379" max="5379" width="27.28515625" style="128" customWidth="1"/>
    <col min="5380" max="5380" width="50.140625" style="128" customWidth="1"/>
    <col min="5381" max="5381" width="28" style="128" customWidth="1"/>
    <col min="5382" max="5382" width="11.5703125" style="128" customWidth="1"/>
    <col min="5383" max="5383" width="11.42578125" style="128" customWidth="1"/>
    <col min="5384" max="5384" width="10.140625" style="128" bestFit="1" customWidth="1"/>
    <col min="5385" max="5385" width="9.140625" style="128"/>
    <col min="5386" max="5386" width="22.42578125" style="128" customWidth="1"/>
    <col min="5387" max="5387" width="10.85546875" style="128" customWidth="1"/>
    <col min="5388" max="5632" width="9.140625" style="128"/>
    <col min="5633" max="5633" width="8.5703125" style="128" customWidth="1"/>
    <col min="5634" max="5634" width="15" style="128" customWidth="1"/>
    <col min="5635" max="5635" width="27.28515625" style="128" customWidth="1"/>
    <col min="5636" max="5636" width="50.140625" style="128" customWidth="1"/>
    <col min="5637" max="5637" width="28" style="128" customWidth="1"/>
    <col min="5638" max="5638" width="11.5703125" style="128" customWidth="1"/>
    <col min="5639" max="5639" width="11.42578125" style="128" customWidth="1"/>
    <col min="5640" max="5640" width="10.140625" style="128" bestFit="1" customWidth="1"/>
    <col min="5641" max="5641" width="9.140625" style="128"/>
    <col min="5642" max="5642" width="22.42578125" style="128" customWidth="1"/>
    <col min="5643" max="5643" width="10.85546875" style="128" customWidth="1"/>
    <col min="5644" max="5888" width="9.140625" style="128"/>
    <col min="5889" max="5889" width="8.5703125" style="128" customWidth="1"/>
    <col min="5890" max="5890" width="15" style="128" customWidth="1"/>
    <col min="5891" max="5891" width="27.28515625" style="128" customWidth="1"/>
    <col min="5892" max="5892" width="50.140625" style="128" customWidth="1"/>
    <col min="5893" max="5893" width="28" style="128" customWidth="1"/>
    <col min="5894" max="5894" width="11.5703125" style="128" customWidth="1"/>
    <col min="5895" max="5895" width="11.42578125" style="128" customWidth="1"/>
    <col min="5896" max="5896" width="10.140625" style="128" bestFit="1" customWidth="1"/>
    <col min="5897" max="5897" width="9.140625" style="128"/>
    <col min="5898" max="5898" width="22.42578125" style="128" customWidth="1"/>
    <col min="5899" max="5899" width="10.85546875" style="128" customWidth="1"/>
    <col min="5900" max="6144" width="9.140625" style="128"/>
    <col min="6145" max="6145" width="8.5703125" style="128" customWidth="1"/>
    <col min="6146" max="6146" width="15" style="128" customWidth="1"/>
    <col min="6147" max="6147" width="27.28515625" style="128" customWidth="1"/>
    <col min="6148" max="6148" width="50.140625" style="128" customWidth="1"/>
    <col min="6149" max="6149" width="28" style="128" customWidth="1"/>
    <col min="6150" max="6150" width="11.5703125" style="128" customWidth="1"/>
    <col min="6151" max="6151" width="11.42578125" style="128" customWidth="1"/>
    <col min="6152" max="6152" width="10.140625" style="128" bestFit="1" customWidth="1"/>
    <col min="6153" max="6153" width="9.140625" style="128"/>
    <col min="6154" max="6154" width="22.42578125" style="128" customWidth="1"/>
    <col min="6155" max="6155" width="10.85546875" style="128" customWidth="1"/>
    <col min="6156" max="6400" width="9.140625" style="128"/>
    <col min="6401" max="6401" width="8.5703125" style="128" customWidth="1"/>
    <col min="6402" max="6402" width="15" style="128" customWidth="1"/>
    <col min="6403" max="6403" width="27.28515625" style="128" customWidth="1"/>
    <col min="6404" max="6404" width="50.140625" style="128" customWidth="1"/>
    <col min="6405" max="6405" width="28" style="128" customWidth="1"/>
    <col min="6406" max="6406" width="11.5703125" style="128" customWidth="1"/>
    <col min="6407" max="6407" width="11.42578125" style="128" customWidth="1"/>
    <col min="6408" max="6408" width="10.140625" style="128" bestFit="1" customWidth="1"/>
    <col min="6409" max="6409" width="9.140625" style="128"/>
    <col min="6410" max="6410" width="22.42578125" style="128" customWidth="1"/>
    <col min="6411" max="6411" width="10.85546875" style="128" customWidth="1"/>
    <col min="6412" max="6656" width="9.140625" style="128"/>
    <col min="6657" max="6657" width="8.5703125" style="128" customWidth="1"/>
    <col min="6658" max="6658" width="15" style="128" customWidth="1"/>
    <col min="6659" max="6659" width="27.28515625" style="128" customWidth="1"/>
    <col min="6660" max="6660" width="50.140625" style="128" customWidth="1"/>
    <col min="6661" max="6661" width="28" style="128" customWidth="1"/>
    <col min="6662" max="6662" width="11.5703125" style="128" customWidth="1"/>
    <col min="6663" max="6663" width="11.42578125" style="128" customWidth="1"/>
    <col min="6664" max="6664" width="10.140625" style="128" bestFit="1" customWidth="1"/>
    <col min="6665" max="6665" width="9.140625" style="128"/>
    <col min="6666" max="6666" width="22.42578125" style="128" customWidth="1"/>
    <col min="6667" max="6667" width="10.85546875" style="128" customWidth="1"/>
    <col min="6668" max="6912" width="9.140625" style="128"/>
    <col min="6913" max="6913" width="8.5703125" style="128" customWidth="1"/>
    <col min="6914" max="6914" width="15" style="128" customWidth="1"/>
    <col min="6915" max="6915" width="27.28515625" style="128" customWidth="1"/>
    <col min="6916" max="6916" width="50.140625" style="128" customWidth="1"/>
    <col min="6917" max="6917" width="28" style="128" customWidth="1"/>
    <col min="6918" max="6918" width="11.5703125" style="128" customWidth="1"/>
    <col min="6919" max="6919" width="11.42578125" style="128" customWidth="1"/>
    <col min="6920" max="6920" width="10.140625" style="128" bestFit="1" customWidth="1"/>
    <col min="6921" max="6921" width="9.140625" style="128"/>
    <col min="6922" max="6922" width="22.42578125" style="128" customWidth="1"/>
    <col min="6923" max="6923" width="10.85546875" style="128" customWidth="1"/>
    <col min="6924" max="7168" width="9.140625" style="128"/>
    <col min="7169" max="7169" width="8.5703125" style="128" customWidth="1"/>
    <col min="7170" max="7170" width="15" style="128" customWidth="1"/>
    <col min="7171" max="7171" width="27.28515625" style="128" customWidth="1"/>
    <col min="7172" max="7172" width="50.140625" style="128" customWidth="1"/>
    <col min="7173" max="7173" width="28" style="128" customWidth="1"/>
    <col min="7174" max="7174" width="11.5703125" style="128" customWidth="1"/>
    <col min="7175" max="7175" width="11.42578125" style="128" customWidth="1"/>
    <col min="7176" max="7176" width="10.140625" style="128" bestFit="1" customWidth="1"/>
    <col min="7177" max="7177" width="9.140625" style="128"/>
    <col min="7178" max="7178" width="22.42578125" style="128" customWidth="1"/>
    <col min="7179" max="7179" width="10.85546875" style="128" customWidth="1"/>
    <col min="7180" max="7424" width="9.140625" style="128"/>
    <col min="7425" max="7425" width="8.5703125" style="128" customWidth="1"/>
    <col min="7426" max="7426" width="15" style="128" customWidth="1"/>
    <col min="7427" max="7427" width="27.28515625" style="128" customWidth="1"/>
    <col min="7428" max="7428" width="50.140625" style="128" customWidth="1"/>
    <col min="7429" max="7429" width="28" style="128" customWidth="1"/>
    <col min="7430" max="7430" width="11.5703125" style="128" customWidth="1"/>
    <col min="7431" max="7431" width="11.42578125" style="128" customWidth="1"/>
    <col min="7432" max="7432" width="10.140625" style="128" bestFit="1" customWidth="1"/>
    <col min="7433" max="7433" width="9.140625" style="128"/>
    <col min="7434" max="7434" width="22.42578125" style="128" customWidth="1"/>
    <col min="7435" max="7435" width="10.85546875" style="128" customWidth="1"/>
    <col min="7436" max="7680" width="9.140625" style="128"/>
    <col min="7681" max="7681" width="8.5703125" style="128" customWidth="1"/>
    <col min="7682" max="7682" width="15" style="128" customWidth="1"/>
    <col min="7683" max="7683" width="27.28515625" style="128" customWidth="1"/>
    <col min="7684" max="7684" width="50.140625" style="128" customWidth="1"/>
    <col min="7685" max="7685" width="28" style="128" customWidth="1"/>
    <col min="7686" max="7686" width="11.5703125" style="128" customWidth="1"/>
    <col min="7687" max="7687" width="11.42578125" style="128" customWidth="1"/>
    <col min="7688" max="7688" width="10.140625" style="128" bestFit="1" customWidth="1"/>
    <col min="7689" max="7689" width="9.140625" style="128"/>
    <col min="7690" max="7690" width="22.42578125" style="128" customWidth="1"/>
    <col min="7691" max="7691" width="10.85546875" style="128" customWidth="1"/>
    <col min="7692" max="7936" width="9.140625" style="128"/>
    <col min="7937" max="7937" width="8.5703125" style="128" customWidth="1"/>
    <col min="7938" max="7938" width="15" style="128" customWidth="1"/>
    <col min="7939" max="7939" width="27.28515625" style="128" customWidth="1"/>
    <col min="7940" max="7940" width="50.140625" style="128" customWidth="1"/>
    <col min="7941" max="7941" width="28" style="128" customWidth="1"/>
    <col min="7942" max="7942" width="11.5703125" style="128" customWidth="1"/>
    <col min="7943" max="7943" width="11.42578125" style="128" customWidth="1"/>
    <col min="7944" max="7944" width="10.140625" style="128" bestFit="1" customWidth="1"/>
    <col min="7945" max="7945" width="9.140625" style="128"/>
    <col min="7946" max="7946" width="22.42578125" style="128" customWidth="1"/>
    <col min="7947" max="7947" width="10.85546875" style="128" customWidth="1"/>
    <col min="7948" max="8192" width="9.140625" style="128"/>
    <col min="8193" max="8193" width="8.5703125" style="128" customWidth="1"/>
    <col min="8194" max="8194" width="15" style="128" customWidth="1"/>
    <col min="8195" max="8195" width="27.28515625" style="128" customWidth="1"/>
    <col min="8196" max="8196" width="50.140625" style="128" customWidth="1"/>
    <col min="8197" max="8197" width="28" style="128" customWidth="1"/>
    <col min="8198" max="8198" width="11.5703125" style="128" customWidth="1"/>
    <col min="8199" max="8199" width="11.42578125" style="128" customWidth="1"/>
    <col min="8200" max="8200" width="10.140625" style="128" bestFit="1" customWidth="1"/>
    <col min="8201" max="8201" width="9.140625" style="128"/>
    <col min="8202" max="8202" width="22.42578125" style="128" customWidth="1"/>
    <col min="8203" max="8203" width="10.85546875" style="128" customWidth="1"/>
    <col min="8204" max="8448" width="9.140625" style="128"/>
    <col min="8449" max="8449" width="8.5703125" style="128" customWidth="1"/>
    <col min="8450" max="8450" width="15" style="128" customWidth="1"/>
    <col min="8451" max="8451" width="27.28515625" style="128" customWidth="1"/>
    <col min="8452" max="8452" width="50.140625" style="128" customWidth="1"/>
    <col min="8453" max="8453" width="28" style="128" customWidth="1"/>
    <col min="8454" max="8454" width="11.5703125" style="128" customWidth="1"/>
    <col min="8455" max="8455" width="11.42578125" style="128" customWidth="1"/>
    <col min="8456" max="8456" width="10.140625" style="128" bestFit="1" customWidth="1"/>
    <col min="8457" max="8457" width="9.140625" style="128"/>
    <col min="8458" max="8458" width="22.42578125" style="128" customWidth="1"/>
    <col min="8459" max="8459" width="10.85546875" style="128" customWidth="1"/>
    <col min="8460" max="8704" width="9.140625" style="128"/>
    <col min="8705" max="8705" width="8.5703125" style="128" customWidth="1"/>
    <col min="8706" max="8706" width="15" style="128" customWidth="1"/>
    <col min="8707" max="8707" width="27.28515625" style="128" customWidth="1"/>
    <col min="8708" max="8708" width="50.140625" style="128" customWidth="1"/>
    <col min="8709" max="8709" width="28" style="128" customWidth="1"/>
    <col min="8710" max="8710" width="11.5703125" style="128" customWidth="1"/>
    <col min="8711" max="8711" width="11.42578125" style="128" customWidth="1"/>
    <col min="8712" max="8712" width="10.140625" style="128" bestFit="1" customWidth="1"/>
    <col min="8713" max="8713" width="9.140625" style="128"/>
    <col min="8714" max="8714" width="22.42578125" style="128" customWidth="1"/>
    <col min="8715" max="8715" width="10.85546875" style="128" customWidth="1"/>
    <col min="8716" max="8960" width="9.140625" style="128"/>
    <col min="8961" max="8961" width="8.5703125" style="128" customWidth="1"/>
    <col min="8962" max="8962" width="15" style="128" customWidth="1"/>
    <col min="8963" max="8963" width="27.28515625" style="128" customWidth="1"/>
    <col min="8964" max="8964" width="50.140625" style="128" customWidth="1"/>
    <col min="8965" max="8965" width="28" style="128" customWidth="1"/>
    <col min="8966" max="8966" width="11.5703125" style="128" customWidth="1"/>
    <col min="8967" max="8967" width="11.42578125" style="128" customWidth="1"/>
    <col min="8968" max="8968" width="10.140625" style="128" bestFit="1" customWidth="1"/>
    <col min="8969" max="8969" width="9.140625" style="128"/>
    <col min="8970" max="8970" width="22.42578125" style="128" customWidth="1"/>
    <col min="8971" max="8971" width="10.85546875" style="128" customWidth="1"/>
    <col min="8972" max="9216" width="9.140625" style="128"/>
    <col min="9217" max="9217" width="8.5703125" style="128" customWidth="1"/>
    <col min="9218" max="9218" width="15" style="128" customWidth="1"/>
    <col min="9219" max="9219" width="27.28515625" style="128" customWidth="1"/>
    <col min="9220" max="9220" width="50.140625" style="128" customWidth="1"/>
    <col min="9221" max="9221" width="28" style="128" customWidth="1"/>
    <col min="9222" max="9222" width="11.5703125" style="128" customWidth="1"/>
    <col min="9223" max="9223" width="11.42578125" style="128" customWidth="1"/>
    <col min="9224" max="9224" width="10.140625" style="128" bestFit="1" customWidth="1"/>
    <col min="9225" max="9225" width="9.140625" style="128"/>
    <col min="9226" max="9226" width="22.42578125" style="128" customWidth="1"/>
    <col min="9227" max="9227" width="10.85546875" style="128" customWidth="1"/>
    <col min="9228" max="9472" width="9.140625" style="128"/>
    <col min="9473" max="9473" width="8.5703125" style="128" customWidth="1"/>
    <col min="9474" max="9474" width="15" style="128" customWidth="1"/>
    <col min="9475" max="9475" width="27.28515625" style="128" customWidth="1"/>
    <col min="9476" max="9476" width="50.140625" style="128" customWidth="1"/>
    <col min="9477" max="9477" width="28" style="128" customWidth="1"/>
    <col min="9478" max="9478" width="11.5703125" style="128" customWidth="1"/>
    <col min="9479" max="9479" width="11.42578125" style="128" customWidth="1"/>
    <col min="9480" max="9480" width="10.140625" style="128" bestFit="1" customWidth="1"/>
    <col min="9481" max="9481" width="9.140625" style="128"/>
    <col min="9482" max="9482" width="22.42578125" style="128" customWidth="1"/>
    <col min="9483" max="9483" width="10.85546875" style="128" customWidth="1"/>
    <col min="9484" max="9728" width="9.140625" style="128"/>
    <col min="9729" max="9729" width="8.5703125" style="128" customWidth="1"/>
    <col min="9730" max="9730" width="15" style="128" customWidth="1"/>
    <col min="9731" max="9731" width="27.28515625" style="128" customWidth="1"/>
    <col min="9732" max="9732" width="50.140625" style="128" customWidth="1"/>
    <col min="9733" max="9733" width="28" style="128" customWidth="1"/>
    <col min="9734" max="9734" width="11.5703125" style="128" customWidth="1"/>
    <col min="9735" max="9735" width="11.42578125" style="128" customWidth="1"/>
    <col min="9736" max="9736" width="10.140625" style="128" bestFit="1" customWidth="1"/>
    <col min="9737" max="9737" width="9.140625" style="128"/>
    <col min="9738" max="9738" width="22.42578125" style="128" customWidth="1"/>
    <col min="9739" max="9739" width="10.85546875" style="128" customWidth="1"/>
    <col min="9740" max="9984" width="9.140625" style="128"/>
    <col min="9985" max="9985" width="8.5703125" style="128" customWidth="1"/>
    <col min="9986" max="9986" width="15" style="128" customWidth="1"/>
    <col min="9987" max="9987" width="27.28515625" style="128" customWidth="1"/>
    <col min="9988" max="9988" width="50.140625" style="128" customWidth="1"/>
    <col min="9989" max="9989" width="28" style="128" customWidth="1"/>
    <col min="9990" max="9990" width="11.5703125" style="128" customWidth="1"/>
    <col min="9991" max="9991" width="11.42578125" style="128" customWidth="1"/>
    <col min="9992" max="9992" width="10.140625" style="128" bestFit="1" customWidth="1"/>
    <col min="9993" max="9993" width="9.140625" style="128"/>
    <col min="9994" max="9994" width="22.42578125" style="128" customWidth="1"/>
    <col min="9995" max="9995" width="10.85546875" style="128" customWidth="1"/>
    <col min="9996" max="10240" width="9.140625" style="128"/>
    <col min="10241" max="10241" width="8.5703125" style="128" customWidth="1"/>
    <col min="10242" max="10242" width="15" style="128" customWidth="1"/>
    <col min="10243" max="10243" width="27.28515625" style="128" customWidth="1"/>
    <col min="10244" max="10244" width="50.140625" style="128" customWidth="1"/>
    <col min="10245" max="10245" width="28" style="128" customWidth="1"/>
    <col min="10246" max="10246" width="11.5703125" style="128" customWidth="1"/>
    <col min="10247" max="10247" width="11.42578125" style="128" customWidth="1"/>
    <col min="10248" max="10248" width="10.140625" style="128" bestFit="1" customWidth="1"/>
    <col min="10249" max="10249" width="9.140625" style="128"/>
    <col min="10250" max="10250" width="22.42578125" style="128" customWidth="1"/>
    <col min="10251" max="10251" width="10.85546875" style="128" customWidth="1"/>
    <col min="10252" max="10496" width="9.140625" style="128"/>
    <col min="10497" max="10497" width="8.5703125" style="128" customWidth="1"/>
    <col min="10498" max="10498" width="15" style="128" customWidth="1"/>
    <col min="10499" max="10499" width="27.28515625" style="128" customWidth="1"/>
    <col min="10500" max="10500" width="50.140625" style="128" customWidth="1"/>
    <col min="10501" max="10501" width="28" style="128" customWidth="1"/>
    <col min="10502" max="10502" width="11.5703125" style="128" customWidth="1"/>
    <col min="10503" max="10503" width="11.42578125" style="128" customWidth="1"/>
    <col min="10504" max="10504" width="10.140625" style="128" bestFit="1" customWidth="1"/>
    <col min="10505" max="10505" width="9.140625" style="128"/>
    <col min="10506" max="10506" width="22.42578125" style="128" customWidth="1"/>
    <col min="10507" max="10507" width="10.85546875" style="128" customWidth="1"/>
    <col min="10508" max="10752" width="9.140625" style="128"/>
    <col min="10753" max="10753" width="8.5703125" style="128" customWidth="1"/>
    <col min="10754" max="10754" width="15" style="128" customWidth="1"/>
    <col min="10755" max="10755" width="27.28515625" style="128" customWidth="1"/>
    <col min="10756" max="10756" width="50.140625" style="128" customWidth="1"/>
    <col min="10757" max="10757" width="28" style="128" customWidth="1"/>
    <col min="10758" max="10758" width="11.5703125" style="128" customWidth="1"/>
    <col min="10759" max="10759" width="11.42578125" style="128" customWidth="1"/>
    <col min="10760" max="10760" width="10.140625" style="128" bestFit="1" customWidth="1"/>
    <col min="10761" max="10761" width="9.140625" style="128"/>
    <col min="10762" max="10762" width="22.42578125" style="128" customWidth="1"/>
    <col min="10763" max="10763" width="10.85546875" style="128" customWidth="1"/>
    <col min="10764" max="11008" width="9.140625" style="128"/>
    <col min="11009" max="11009" width="8.5703125" style="128" customWidth="1"/>
    <col min="11010" max="11010" width="15" style="128" customWidth="1"/>
    <col min="11011" max="11011" width="27.28515625" style="128" customWidth="1"/>
    <col min="11012" max="11012" width="50.140625" style="128" customWidth="1"/>
    <col min="11013" max="11013" width="28" style="128" customWidth="1"/>
    <col min="11014" max="11014" width="11.5703125" style="128" customWidth="1"/>
    <col min="11015" max="11015" width="11.42578125" style="128" customWidth="1"/>
    <col min="11016" max="11016" width="10.140625" style="128" bestFit="1" customWidth="1"/>
    <col min="11017" max="11017" width="9.140625" style="128"/>
    <col min="11018" max="11018" width="22.42578125" style="128" customWidth="1"/>
    <col min="11019" max="11019" width="10.85546875" style="128" customWidth="1"/>
    <col min="11020" max="11264" width="9.140625" style="128"/>
    <col min="11265" max="11265" width="8.5703125" style="128" customWidth="1"/>
    <col min="11266" max="11266" width="15" style="128" customWidth="1"/>
    <col min="11267" max="11267" width="27.28515625" style="128" customWidth="1"/>
    <col min="11268" max="11268" width="50.140625" style="128" customWidth="1"/>
    <col min="11269" max="11269" width="28" style="128" customWidth="1"/>
    <col min="11270" max="11270" width="11.5703125" style="128" customWidth="1"/>
    <col min="11271" max="11271" width="11.42578125" style="128" customWidth="1"/>
    <col min="11272" max="11272" width="10.140625" style="128" bestFit="1" customWidth="1"/>
    <col min="11273" max="11273" width="9.140625" style="128"/>
    <col min="11274" max="11274" width="22.42578125" style="128" customWidth="1"/>
    <col min="11275" max="11275" width="10.85546875" style="128" customWidth="1"/>
    <col min="11276" max="11520" width="9.140625" style="128"/>
    <col min="11521" max="11521" width="8.5703125" style="128" customWidth="1"/>
    <col min="11522" max="11522" width="15" style="128" customWidth="1"/>
    <col min="11523" max="11523" width="27.28515625" style="128" customWidth="1"/>
    <col min="11524" max="11524" width="50.140625" style="128" customWidth="1"/>
    <col min="11525" max="11525" width="28" style="128" customWidth="1"/>
    <col min="11526" max="11526" width="11.5703125" style="128" customWidth="1"/>
    <col min="11527" max="11527" width="11.42578125" style="128" customWidth="1"/>
    <col min="11528" max="11528" width="10.140625" style="128" bestFit="1" customWidth="1"/>
    <col min="11529" max="11529" width="9.140625" style="128"/>
    <col min="11530" max="11530" width="22.42578125" style="128" customWidth="1"/>
    <col min="11531" max="11531" width="10.85546875" style="128" customWidth="1"/>
    <col min="11532" max="11776" width="9.140625" style="128"/>
    <col min="11777" max="11777" width="8.5703125" style="128" customWidth="1"/>
    <col min="11778" max="11778" width="15" style="128" customWidth="1"/>
    <col min="11779" max="11779" width="27.28515625" style="128" customWidth="1"/>
    <col min="11780" max="11780" width="50.140625" style="128" customWidth="1"/>
    <col min="11781" max="11781" width="28" style="128" customWidth="1"/>
    <col min="11782" max="11782" width="11.5703125" style="128" customWidth="1"/>
    <col min="11783" max="11783" width="11.42578125" style="128" customWidth="1"/>
    <col min="11784" max="11784" width="10.140625" style="128" bestFit="1" customWidth="1"/>
    <col min="11785" max="11785" width="9.140625" style="128"/>
    <col min="11786" max="11786" width="22.42578125" style="128" customWidth="1"/>
    <col min="11787" max="11787" width="10.85546875" style="128" customWidth="1"/>
    <col min="11788" max="12032" width="9.140625" style="128"/>
    <col min="12033" max="12033" width="8.5703125" style="128" customWidth="1"/>
    <col min="12034" max="12034" width="15" style="128" customWidth="1"/>
    <col min="12035" max="12035" width="27.28515625" style="128" customWidth="1"/>
    <col min="12036" max="12036" width="50.140625" style="128" customWidth="1"/>
    <col min="12037" max="12037" width="28" style="128" customWidth="1"/>
    <col min="12038" max="12038" width="11.5703125" style="128" customWidth="1"/>
    <col min="12039" max="12039" width="11.42578125" style="128" customWidth="1"/>
    <col min="12040" max="12040" width="10.140625" style="128" bestFit="1" customWidth="1"/>
    <col min="12041" max="12041" width="9.140625" style="128"/>
    <col min="12042" max="12042" width="22.42578125" style="128" customWidth="1"/>
    <col min="12043" max="12043" width="10.85546875" style="128" customWidth="1"/>
    <col min="12044" max="12288" width="9.140625" style="128"/>
    <col min="12289" max="12289" width="8.5703125" style="128" customWidth="1"/>
    <col min="12290" max="12290" width="15" style="128" customWidth="1"/>
    <col min="12291" max="12291" width="27.28515625" style="128" customWidth="1"/>
    <col min="12292" max="12292" width="50.140625" style="128" customWidth="1"/>
    <col min="12293" max="12293" width="28" style="128" customWidth="1"/>
    <col min="12294" max="12294" width="11.5703125" style="128" customWidth="1"/>
    <col min="12295" max="12295" width="11.42578125" style="128" customWidth="1"/>
    <col min="12296" max="12296" width="10.140625" style="128" bestFit="1" customWidth="1"/>
    <col min="12297" max="12297" width="9.140625" style="128"/>
    <col min="12298" max="12298" width="22.42578125" style="128" customWidth="1"/>
    <col min="12299" max="12299" width="10.85546875" style="128" customWidth="1"/>
    <col min="12300" max="12544" width="9.140625" style="128"/>
    <col min="12545" max="12545" width="8.5703125" style="128" customWidth="1"/>
    <col min="12546" max="12546" width="15" style="128" customWidth="1"/>
    <col min="12547" max="12547" width="27.28515625" style="128" customWidth="1"/>
    <col min="12548" max="12548" width="50.140625" style="128" customWidth="1"/>
    <col min="12549" max="12549" width="28" style="128" customWidth="1"/>
    <col min="12550" max="12550" width="11.5703125" style="128" customWidth="1"/>
    <col min="12551" max="12551" width="11.42578125" style="128" customWidth="1"/>
    <col min="12552" max="12552" width="10.140625" style="128" bestFit="1" customWidth="1"/>
    <col min="12553" max="12553" width="9.140625" style="128"/>
    <col min="12554" max="12554" width="22.42578125" style="128" customWidth="1"/>
    <col min="12555" max="12555" width="10.85546875" style="128" customWidth="1"/>
    <col min="12556" max="12800" width="9.140625" style="128"/>
    <col min="12801" max="12801" width="8.5703125" style="128" customWidth="1"/>
    <col min="12802" max="12802" width="15" style="128" customWidth="1"/>
    <col min="12803" max="12803" width="27.28515625" style="128" customWidth="1"/>
    <col min="12804" max="12804" width="50.140625" style="128" customWidth="1"/>
    <col min="12805" max="12805" width="28" style="128" customWidth="1"/>
    <col min="12806" max="12806" width="11.5703125" style="128" customWidth="1"/>
    <col min="12807" max="12807" width="11.42578125" style="128" customWidth="1"/>
    <col min="12808" max="12808" width="10.140625" style="128" bestFit="1" customWidth="1"/>
    <col min="12809" max="12809" width="9.140625" style="128"/>
    <col min="12810" max="12810" width="22.42578125" style="128" customWidth="1"/>
    <col min="12811" max="12811" width="10.85546875" style="128" customWidth="1"/>
    <col min="12812" max="13056" width="9.140625" style="128"/>
    <col min="13057" max="13057" width="8.5703125" style="128" customWidth="1"/>
    <col min="13058" max="13058" width="15" style="128" customWidth="1"/>
    <col min="13059" max="13059" width="27.28515625" style="128" customWidth="1"/>
    <col min="13060" max="13060" width="50.140625" style="128" customWidth="1"/>
    <col min="13061" max="13061" width="28" style="128" customWidth="1"/>
    <col min="13062" max="13062" width="11.5703125" style="128" customWidth="1"/>
    <col min="13063" max="13063" width="11.42578125" style="128" customWidth="1"/>
    <col min="13064" max="13064" width="10.140625" style="128" bestFit="1" customWidth="1"/>
    <col min="13065" max="13065" width="9.140625" style="128"/>
    <col min="13066" max="13066" width="22.42578125" style="128" customWidth="1"/>
    <col min="13067" max="13067" width="10.85546875" style="128" customWidth="1"/>
    <col min="13068" max="13312" width="9.140625" style="128"/>
    <col min="13313" max="13313" width="8.5703125" style="128" customWidth="1"/>
    <col min="13314" max="13314" width="15" style="128" customWidth="1"/>
    <col min="13315" max="13315" width="27.28515625" style="128" customWidth="1"/>
    <col min="13316" max="13316" width="50.140625" style="128" customWidth="1"/>
    <col min="13317" max="13317" width="28" style="128" customWidth="1"/>
    <col min="13318" max="13318" width="11.5703125" style="128" customWidth="1"/>
    <col min="13319" max="13319" width="11.42578125" style="128" customWidth="1"/>
    <col min="13320" max="13320" width="10.140625" style="128" bestFit="1" customWidth="1"/>
    <col min="13321" max="13321" width="9.140625" style="128"/>
    <col min="13322" max="13322" width="22.42578125" style="128" customWidth="1"/>
    <col min="13323" max="13323" width="10.85546875" style="128" customWidth="1"/>
    <col min="13324" max="13568" width="9.140625" style="128"/>
    <col min="13569" max="13569" width="8.5703125" style="128" customWidth="1"/>
    <col min="13570" max="13570" width="15" style="128" customWidth="1"/>
    <col min="13571" max="13571" width="27.28515625" style="128" customWidth="1"/>
    <col min="13572" max="13572" width="50.140625" style="128" customWidth="1"/>
    <col min="13573" max="13573" width="28" style="128" customWidth="1"/>
    <col min="13574" max="13574" width="11.5703125" style="128" customWidth="1"/>
    <col min="13575" max="13575" width="11.42578125" style="128" customWidth="1"/>
    <col min="13576" max="13576" width="10.140625" style="128" bestFit="1" customWidth="1"/>
    <col min="13577" max="13577" width="9.140625" style="128"/>
    <col min="13578" max="13578" width="22.42578125" style="128" customWidth="1"/>
    <col min="13579" max="13579" width="10.85546875" style="128" customWidth="1"/>
    <col min="13580" max="13824" width="9.140625" style="128"/>
    <col min="13825" max="13825" width="8.5703125" style="128" customWidth="1"/>
    <col min="13826" max="13826" width="15" style="128" customWidth="1"/>
    <col min="13827" max="13827" width="27.28515625" style="128" customWidth="1"/>
    <col min="13828" max="13828" width="50.140625" style="128" customWidth="1"/>
    <col min="13829" max="13829" width="28" style="128" customWidth="1"/>
    <col min="13830" max="13830" width="11.5703125" style="128" customWidth="1"/>
    <col min="13831" max="13831" width="11.42578125" style="128" customWidth="1"/>
    <col min="13832" max="13832" width="10.140625" style="128" bestFit="1" customWidth="1"/>
    <col min="13833" max="13833" width="9.140625" style="128"/>
    <col min="13834" max="13834" width="22.42578125" style="128" customWidth="1"/>
    <col min="13835" max="13835" width="10.85546875" style="128" customWidth="1"/>
    <col min="13836" max="14080" width="9.140625" style="128"/>
    <col min="14081" max="14081" width="8.5703125" style="128" customWidth="1"/>
    <col min="14082" max="14082" width="15" style="128" customWidth="1"/>
    <col min="14083" max="14083" width="27.28515625" style="128" customWidth="1"/>
    <col min="14084" max="14084" width="50.140625" style="128" customWidth="1"/>
    <col min="14085" max="14085" width="28" style="128" customWidth="1"/>
    <col min="14086" max="14086" width="11.5703125" style="128" customWidth="1"/>
    <col min="14087" max="14087" width="11.42578125" style="128" customWidth="1"/>
    <col min="14088" max="14088" width="10.140625" style="128" bestFit="1" customWidth="1"/>
    <col min="14089" max="14089" width="9.140625" style="128"/>
    <col min="14090" max="14090" width="22.42578125" style="128" customWidth="1"/>
    <col min="14091" max="14091" width="10.85546875" style="128" customWidth="1"/>
    <col min="14092" max="14336" width="9.140625" style="128"/>
    <col min="14337" max="14337" width="8.5703125" style="128" customWidth="1"/>
    <col min="14338" max="14338" width="15" style="128" customWidth="1"/>
    <col min="14339" max="14339" width="27.28515625" style="128" customWidth="1"/>
    <col min="14340" max="14340" width="50.140625" style="128" customWidth="1"/>
    <col min="14341" max="14341" width="28" style="128" customWidth="1"/>
    <col min="14342" max="14342" width="11.5703125" style="128" customWidth="1"/>
    <col min="14343" max="14343" width="11.42578125" style="128" customWidth="1"/>
    <col min="14344" max="14344" width="10.140625" style="128" bestFit="1" customWidth="1"/>
    <col min="14345" max="14345" width="9.140625" style="128"/>
    <col min="14346" max="14346" width="22.42578125" style="128" customWidth="1"/>
    <col min="14347" max="14347" width="10.85546875" style="128" customWidth="1"/>
    <col min="14348" max="14592" width="9.140625" style="128"/>
    <col min="14593" max="14593" width="8.5703125" style="128" customWidth="1"/>
    <col min="14594" max="14594" width="15" style="128" customWidth="1"/>
    <col min="14595" max="14595" width="27.28515625" style="128" customWidth="1"/>
    <col min="14596" max="14596" width="50.140625" style="128" customWidth="1"/>
    <col min="14597" max="14597" width="28" style="128" customWidth="1"/>
    <col min="14598" max="14598" width="11.5703125" style="128" customWidth="1"/>
    <col min="14599" max="14599" width="11.42578125" style="128" customWidth="1"/>
    <col min="14600" max="14600" width="10.140625" style="128" bestFit="1" customWidth="1"/>
    <col min="14601" max="14601" width="9.140625" style="128"/>
    <col min="14602" max="14602" width="22.42578125" style="128" customWidth="1"/>
    <col min="14603" max="14603" width="10.85546875" style="128" customWidth="1"/>
    <col min="14604" max="14848" width="9.140625" style="128"/>
    <col min="14849" max="14849" width="8.5703125" style="128" customWidth="1"/>
    <col min="14850" max="14850" width="15" style="128" customWidth="1"/>
    <col min="14851" max="14851" width="27.28515625" style="128" customWidth="1"/>
    <col min="14852" max="14852" width="50.140625" style="128" customWidth="1"/>
    <col min="14853" max="14853" width="28" style="128" customWidth="1"/>
    <col min="14854" max="14854" width="11.5703125" style="128" customWidth="1"/>
    <col min="14855" max="14855" width="11.42578125" style="128" customWidth="1"/>
    <col min="14856" max="14856" width="10.140625" style="128" bestFit="1" customWidth="1"/>
    <col min="14857" max="14857" width="9.140625" style="128"/>
    <col min="14858" max="14858" width="22.42578125" style="128" customWidth="1"/>
    <col min="14859" max="14859" width="10.85546875" style="128" customWidth="1"/>
    <col min="14860" max="15104" width="9.140625" style="128"/>
    <col min="15105" max="15105" width="8.5703125" style="128" customWidth="1"/>
    <col min="15106" max="15106" width="15" style="128" customWidth="1"/>
    <col min="15107" max="15107" width="27.28515625" style="128" customWidth="1"/>
    <col min="15108" max="15108" width="50.140625" style="128" customWidth="1"/>
    <col min="15109" max="15109" width="28" style="128" customWidth="1"/>
    <col min="15110" max="15110" width="11.5703125" style="128" customWidth="1"/>
    <col min="15111" max="15111" width="11.42578125" style="128" customWidth="1"/>
    <col min="15112" max="15112" width="10.140625" style="128" bestFit="1" customWidth="1"/>
    <col min="15113" max="15113" width="9.140625" style="128"/>
    <col min="15114" max="15114" width="22.42578125" style="128" customWidth="1"/>
    <col min="15115" max="15115" width="10.85546875" style="128" customWidth="1"/>
    <col min="15116" max="15360" width="9.140625" style="128"/>
    <col min="15361" max="15361" width="8.5703125" style="128" customWidth="1"/>
    <col min="15362" max="15362" width="15" style="128" customWidth="1"/>
    <col min="15363" max="15363" width="27.28515625" style="128" customWidth="1"/>
    <col min="15364" max="15364" width="50.140625" style="128" customWidth="1"/>
    <col min="15365" max="15365" width="28" style="128" customWidth="1"/>
    <col min="15366" max="15366" width="11.5703125" style="128" customWidth="1"/>
    <col min="15367" max="15367" width="11.42578125" style="128" customWidth="1"/>
    <col min="15368" max="15368" width="10.140625" style="128" bestFit="1" customWidth="1"/>
    <col min="15369" max="15369" width="9.140625" style="128"/>
    <col min="15370" max="15370" width="22.42578125" style="128" customWidth="1"/>
    <col min="15371" max="15371" width="10.85546875" style="128" customWidth="1"/>
    <col min="15372" max="15616" width="9.140625" style="128"/>
    <col min="15617" max="15617" width="8.5703125" style="128" customWidth="1"/>
    <col min="15618" max="15618" width="15" style="128" customWidth="1"/>
    <col min="15619" max="15619" width="27.28515625" style="128" customWidth="1"/>
    <col min="15620" max="15620" width="50.140625" style="128" customWidth="1"/>
    <col min="15621" max="15621" width="28" style="128" customWidth="1"/>
    <col min="15622" max="15622" width="11.5703125" style="128" customWidth="1"/>
    <col min="15623" max="15623" width="11.42578125" style="128" customWidth="1"/>
    <col min="15624" max="15624" width="10.140625" style="128" bestFit="1" customWidth="1"/>
    <col min="15625" max="15625" width="9.140625" style="128"/>
    <col min="15626" max="15626" width="22.42578125" style="128" customWidth="1"/>
    <col min="15627" max="15627" width="10.85546875" style="128" customWidth="1"/>
    <col min="15628" max="15872" width="9.140625" style="128"/>
    <col min="15873" max="15873" width="8.5703125" style="128" customWidth="1"/>
    <col min="15874" max="15874" width="15" style="128" customWidth="1"/>
    <col min="15875" max="15875" width="27.28515625" style="128" customWidth="1"/>
    <col min="15876" max="15876" width="50.140625" style="128" customWidth="1"/>
    <col min="15877" max="15877" width="28" style="128" customWidth="1"/>
    <col min="15878" max="15878" width="11.5703125" style="128" customWidth="1"/>
    <col min="15879" max="15879" width="11.42578125" style="128" customWidth="1"/>
    <col min="15880" max="15880" width="10.140625" style="128" bestFit="1" customWidth="1"/>
    <col min="15881" max="15881" width="9.140625" style="128"/>
    <col min="15882" max="15882" width="22.42578125" style="128" customWidth="1"/>
    <col min="15883" max="15883" width="10.85546875" style="128" customWidth="1"/>
    <col min="15884" max="16128" width="9.140625" style="128"/>
    <col min="16129" max="16129" width="8.5703125" style="128" customWidth="1"/>
    <col min="16130" max="16130" width="15" style="128" customWidth="1"/>
    <col min="16131" max="16131" width="27.28515625" style="128" customWidth="1"/>
    <col min="16132" max="16132" width="50.140625" style="128" customWidth="1"/>
    <col min="16133" max="16133" width="28" style="128" customWidth="1"/>
    <col min="16134" max="16134" width="11.5703125" style="128" customWidth="1"/>
    <col min="16135" max="16135" width="11.42578125" style="128" customWidth="1"/>
    <col min="16136" max="16136" width="10.140625" style="128" bestFit="1" customWidth="1"/>
    <col min="16137" max="16137" width="9.140625" style="128"/>
    <col min="16138" max="16138" width="22.42578125" style="128" customWidth="1"/>
    <col min="16139" max="16139" width="10.85546875" style="128" customWidth="1"/>
    <col min="16140" max="16384" width="9.140625" style="128"/>
  </cols>
  <sheetData>
    <row r="1" spans="2:9" s="118" customFormat="1">
      <c r="B1" s="305"/>
      <c r="C1" s="306"/>
      <c r="D1" s="307"/>
      <c r="F1" s="308"/>
      <c r="G1" s="308"/>
      <c r="H1" s="305"/>
      <c r="I1" s="306"/>
    </row>
    <row r="2" spans="2:9">
      <c r="B2" s="133" t="s">
        <v>940</v>
      </c>
    </row>
  </sheetData>
  <sheetProtection selectLockedCells="1" selectUnlockedCells="1"/>
  <printOptions gridLines="1"/>
  <pageMargins left="0.75" right="0.75" top="1" bottom="1" header="0.5" footer="0.5"/>
  <pageSetup paperSize="5" scale="66" fitToHeight="0" orientation="landscape" r:id="rId1"/>
  <headerFooter alignWithMargins="0"/>
  <colBreaks count="1" manualBreakCount="1">
    <brk id="2"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BEBE6-68EA-4AE9-BBB9-12F1E96040D7}">
  <sheetPr>
    <tabColor rgb="FF0070C0"/>
  </sheetPr>
  <dimension ref="A1:AS78"/>
  <sheetViews>
    <sheetView workbookViewId="0">
      <pane xSplit="4" ySplit="11" topLeftCell="F12" activePane="bottomRight" state="frozen"/>
      <selection pane="bottomRight" activeCell="A2" sqref="A2"/>
      <selection pane="bottomLeft" activeCell="A12" sqref="A12"/>
      <selection pane="topRight" activeCell="E1" sqref="E1"/>
    </sheetView>
  </sheetViews>
  <sheetFormatPr defaultColWidth="0" defaultRowHeight="14.25"/>
  <cols>
    <col min="1" max="1" width="10.42578125" style="1" customWidth="1"/>
    <col min="2" max="2" width="32.5703125" style="1" bestFit="1" customWidth="1"/>
    <col min="3" max="3" width="15.42578125" style="1" bestFit="1" customWidth="1"/>
    <col min="4" max="4" width="15.140625" style="1" bestFit="1" customWidth="1"/>
    <col min="5" max="5" width="1.5703125" style="1" customWidth="1"/>
    <col min="6" max="44" width="14.42578125" style="1" customWidth="1"/>
    <col min="45" max="45" width="9.140625" style="1" customWidth="1"/>
    <col min="46" max="16384" width="9.140625" style="1" hidden="1"/>
  </cols>
  <sheetData>
    <row r="1" spans="1:44" ht="19.5">
      <c r="A1" s="328" t="str">
        <f>Summary!$A$1</f>
        <v>Multimodal Improvements to Safely Connect Tulsa at US-75 and 81st Street Interchange</v>
      </c>
    </row>
    <row r="2" spans="1:44" ht="19.5">
      <c r="A2" s="328" t="s">
        <v>203</v>
      </c>
      <c r="C2" s="12"/>
    </row>
    <row r="3" spans="1:44">
      <c r="A3" s="55">
        <f ca="1">Summary!A3</f>
        <v>44984</v>
      </c>
      <c r="C3" s="12"/>
    </row>
    <row r="4" spans="1:44">
      <c r="A4" s="56" t="str">
        <f>Summary!A4</f>
        <v>All $ values 2021, unless otherwise noted</v>
      </c>
      <c r="C4" s="12"/>
    </row>
    <row r="5" spans="1:44">
      <c r="B5" s="70"/>
      <c r="C5" s="12"/>
    </row>
    <row r="6" spans="1:44">
      <c r="C6" s="1" t="s">
        <v>43</v>
      </c>
      <c r="D6" s="1" t="s">
        <v>44</v>
      </c>
    </row>
    <row r="7" spans="1:44" s="329" customFormat="1">
      <c r="A7" s="329" t="s">
        <v>204</v>
      </c>
      <c r="C7" s="329" t="s">
        <v>204</v>
      </c>
      <c r="F7" s="329">
        <f>Inputs!$E$12</f>
        <v>2018</v>
      </c>
      <c r="G7" s="329">
        <f>F7+1</f>
        <v>2019</v>
      </c>
      <c r="H7" s="329">
        <f t="shared" ref="H7:W8" si="0">G7+1</f>
        <v>2020</v>
      </c>
      <c r="I7" s="329">
        <f t="shared" si="0"/>
        <v>2021</v>
      </c>
      <c r="J7" s="329">
        <f t="shared" si="0"/>
        <v>2022</v>
      </c>
      <c r="K7" s="329">
        <f t="shared" si="0"/>
        <v>2023</v>
      </c>
      <c r="L7" s="329">
        <f t="shared" si="0"/>
        <v>2024</v>
      </c>
      <c r="M7" s="329">
        <f t="shared" si="0"/>
        <v>2025</v>
      </c>
      <c r="N7" s="329">
        <f t="shared" si="0"/>
        <v>2026</v>
      </c>
      <c r="O7" s="329">
        <f t="shared" si="0"/>
        <v>2027</v>
      </c>
      <c r="P7" s="329">
        <f t="shared" si="0"/>
        <v>2028</v>
      </c>
      <c r="Q7" s="329">
        <f t="shared" si="0"/>
        <v>2029</v>
      </c>
      <c r="R7" s="329">
        <f t="shared" si="0"/>
        <v>2030</v>
      </c>
      <c r="S7" s="329">
        <f t="shared" si="0"/>
        <v>2031</v>
      </c>
      <c r="T7" s="329">
        <f t="shared" si="0"/>
        <v>2032</v>
      </c>
      <c r="U7" s="329">
        <f t="shared" si="0"/>
        <v>2033</v>
      </c>
      <c r="V7" s="329">
        <f t="shared" si="0"/>
        <v>2034</v>
      </c>
      <c r="W7" s="329">
        <f t="shared" si="0"/>
        <v>2035</v>
      </c>
      <c r="X7" s="329">
        <f t="shared" ref="X7:AM8" si="1">W7+1</f>
        <v>2036</v>
      </c>
      <c r="Y7" s="329">
        <f t="shared" si="1"/>
        <v>2037</v>
      </c>
      <c r="Z7" s="329">
        <f t="shared" si="1"/>
        <v>2038</v>
      </c>
      <c r="AA7" s="329">
        <f t="shared" si="1"/>
        <v>2039</v>
      </c>
      <c r="AB7" s="329">
        <f t="shared" si="1"/>
        <v>2040</v>
      </c>
      <c r="AC7" s="329">
        <f t="shared" si="1"/>
        <v>2041</v>
      </c>
      <c r="AD7" s="329">
        <f t="shared" si="1"/>
        <v>2042</v>
      </c>
      <c r="AE7" s="329">
        <f t="shared" si="1"/>
        <v>2043</v>
      </c>
      <c r="AF7" s="329">
        <f t="shared" si="1"/>
        <v>2044</v>
      </c>
      <c r="AG7" s="329">
        <f t="shared" si="1"/>
        <v>2045</v>
      </c>
      <c r="AH7" s="329">
        <f t="shared" si="1"/>
        <v>2046</v>
      </c>
      <c r="AI7" s="329">
        <f t="shared" si="1"/>
        <v>2047</v>
      </c>
      <c r="AJ7" s="329">
        <f t="shared" si="1"/>
        <v>2048</v>
      </c>
      <c r="AK7" s="329">
        <f t="shared" si="1"/>
        <v>2049</v>
      </c>
      <c r="AL7" s="329">
        <f t="shared" si="1"/>
        <v>2050</v>
      </c>
      <c r="AM7" s="329">
        <f t="shared" si="1"/>
        <v>2051</v>
      </c>
      <c r="AN7" s="329">
        <f t="shared" ref="AN7:AR8" si="2">AM7+1</f>
        <v>2052</v>
      </c>
      <c r="AO7" s="329">
        <f t="shared" si="2"/>
        <v>2053</v>
      </c>
      <c r="AP7" s="329">
        <f t="shared" si="2"/>
        <v>2054</v>
      </c>
      <c r="AQ7" s="329">
        <f t="shared" si="2"/>
        <v>2055</v>
      </c>
      <c r="AR7" s="329">
        <f t="shared" si="2"/>
        <v>2056</v>
      </c>
    </row>
    <row r="8" spans="1:44" hidden="1">
      <c r="B8" s="1" t="s">
        <v>205</v>
      </c>
      <c r="C8" s="12" t="s">
        <v>49</v>
      </c>
      <c r="F8" s="1">
        <f>D8+1</f>
        <v>1</v>
      </c>
      <c r="G8" s="1">
        <f t="shared" ref="G8" si="3">F8+1</f>
        <v>2</v>
      </c>
      <c r="H8" s="1">
        <f t="shared" si="0"/>
        <v>3</v>
      </c>
      <c r="I8" s="1">
        <f t="shared" si="0"/>
        <v>4</v>
      </c>
      <c r="J8" s="1">
        <f t="shared" si="0"/>
        <v>5</v>
      </c>
      <c r="K8" s="1">
        <f t="shared" si="0"/>
        <v>6</v>
      </c>
      <c r="L8" s="1">
        <f t="shared" si="0"/>
        <v>7</v>
      </c>
      <c r="M8" s="1">
        <f t="shared" si="0"/>
        <v>8</v>
      </c>
      <c r="N8" s="1">
        <f t="shared" si="0"/>
        <v>9</v>
      </c>
      <c r="O8" s="1">
        <f t="shared" si="0"/>
        <v>10</v>
      </c>
      <c r="P8" s="1">
        <f t="shared" si="0"/>
        <v>11</v>
      </c>
      <c r="Q8" s="1">
        <f t="shared" si="0"/>
        <v>12</v>
      </c>
      <c r="R8" s="1">
        <f t="shared" si="0"/>
        <v>13</v>
      </c>
      <c r="S8" s="1">
        <f t="shared" si="0"/>
        <v>14</v>
      </c>
      <c r="T8" s="1">
        <f t="shared" si="0"/>
        <v>15</v>
      </c>
      <c r="U8" s="1">
        <f t="shared" si="0"/>
        <v>16</v>
      </c>
      <c r="V8" s="1">
        <f t="shared" si="0"/>
        <v>17</v>
      </c>
      <c r="W8" s="1">
        <f t="shared" si="0"/>
        <v>18</v>
      </c>
      <c r="X8" s="1">
        <f t="shared" si="1"/>
        <v>19</v>
      </c>
      <c r="Y8" s="1">
        <f t="shared" si="1"/>
        <v>20</v>
      </c>
      <c r="Z8" s="1">
        <f t="shared" si="1"/>
        <v>21</v>
      </c>
      <c r="AA8" s="1">
        <f t="shared" si="1"/>
        <v>22</v>
      </c>
      <c r="AB8" s="1">
        <f t="shared" si="1"/>
        <v>23</v>
      </c>
      <c r="AC8" s="1">
        <f t="shared" si="1"/>
        <v>24</v>
      </c>
      <c r="AD8" s="1">
        <f t="shared" si="1"/>
        <v>25</v>
      </c>
      <c r="AE8" s="1">
        <f t="shared" si="1"/>
        <v>26</v>
      </c>
      <c r="AF8" s="1">
        <f t="shared" si="1"/>
        <v>27</v>
      </c>
      <c r="AG8" s="1">
        <f t="shared" si="1"/>
        <v>28</v>
      </c>
      <c r="AH8" s="1">
        <f t="shared" si="1"/>
        <v>29</v>
      </c>
      <c r="AI8" s="1">
        <f t="shared" si="1"/>
        <v>30</v>
      </c>
      <c r="AJ8" s="1">
        <f t="shared" si="1"/>
        <v>31</v>
      </c>
      <c r="AK8" s="1">
        <f t="shared" si="1"/>
        <v>32</v>
      </c>
      <c r="AL8" s="1">
        <f t="shared" si="1"/>
        <v>33</v>
      </c>
      <c r="AM8" s="1">
        <f t="shared" si="1"/>
        <v>34</v>
      </c>
      <c r="AN8" s="1">
        <f t="shared" si="2"/>
        <v>35</v>
      </c>
      <c r="AO8" s="1">
        <f t="shared" si="2"/>
        <v>36</v>
      </c>
      <c r="AP8" s="1">
        <f t="shared" si="2"/>
        <v>37</v>
      </c>
      <c r="AQ8" s="1">
        <f t="shared" si="2"/>
        <v>38</v>
      </c>
      <c r="AR8" s="1">
        <f t="shared" si="2"/>
        <v>39</v>
      </c>
    </row>
    <row r="9" spans="1:44" hidden="1">
      <c r="B9" s="1" t="s">
        <v>206</v>
      </c>
      <c r="C9" s="12" t="s">
        <v>207</v>
      </c>
      <c r="F9" s="1">
        <f>IF(F7=Inputs!$E$13,1,0)</f>
        <v>0</v>
      </c>
      <c r="G9" s="1">
        <f>IF(G7=Inputs!$E$13,1,0)</f>
        <v>0</v>
      </c>
      <c r="H9" s="1">
        <f>IF(H7=Inputs!$E$13,1,0)</f>
        <v>0</v>
      </c>
      <c r="I9" s="1">
        <f>IF(I7=Inputs!$E$13,1,0)</f>
        <v>1</v>
      </c>
      <c r="J9" s="1">
        <f>IF(J7=Inputs!$E$13,1,0)</f>
        <v>0</v>
      </c>
      <c r="K9" s="1">
        <f>IF(K7=Inputs!$E$13,1,0)</f>
        <v>0</v>
      </c>
      <c r="L9" s="1">
        <f>IF(L7=Inputs!$E$13,1,0)</f>
        <v>0</v>
      </c>
      <c r="M9" s="1">
        <f>IF(M7=Inputs!$E$13,1,0)</f>
        <v>0</v>
      </c>
      <c r="N9" s="1">
        <f>IF(N7=Inputs!$E$13,1,0)</f>
        <v>0</v>
      </c>
      <c r="O9" s="1">
        <f>IF(O7=Inputs!$E$13,1,0)</f>
        <v>0</v>
      </c>
      <c r="P9" s="1">
        <f>IF(P7=Inputs!$E$13,1,0)</f>
        <v>0</v>
      </c>
      <c r="Q9" s="1">
        <f>IF(Q7=Inputs!$E$13,1,0)</f>
        <v>0</v>
      </c>
      <c r="R9" s="1">
        <f>IF(R7=Inputs!$E$13,1,0)</f>
        <v>0</v>
      </c>
      <c r="S9" s="1">
        <f>IF(S7=Inputs!$E$13,1,0)</f>
        <v>0</v>
      </c>
      <c r="T9" s="1">
        <f>IF(T7=Inputs!$E$13,1,0)</f>
        <v>0</v>
      </c>
      <c r="U9" s="1">
        <f>IF(U7=Inputs!$E$13,1,0)</f>
        <v>0</v>
      </c>
      <c r="V9" s="1">
        <f>IF(V7=Inputs!$E$13,1,0)</f>
        <v>0</v>
      </c>
      <c r="W9" s="1">
        <f>IF(W7=Inputs!$E$13,1,0)</f>
        <v>0</v>
      </c>
      <c r="X9" s="1">
        <f>IF(X7=Inputs!$E$13,1,0)</f>
        <v>0</v>
      </c>
      <c r="Y9" s="1">
        <f>IF(Y7=Inputs!$E$13,1,0)</f>
        <v>0</v>
      </c>
      <c r="Z9" s="1">
        <f>IF(Z7=Inputs!$E$13,1,0)</f>
        <v>0</v>
      </c>
      <c r="AA9" s="1">
        <f>IF(AA7=Inputs!$E$13,1,0)</f>
        <v>0</v>
      </c>
      <c r="AB9" s="1">
        <f>IF(AB7=Inputs!$E$13,1,0)</f>
        <v>0</v>
      </c>
      <c r="AC9" s="1">
        <f>IF(AC7=Inputs!$E$13,1,0)</f>
        <v>0</v>
      </c>
      <c r="AD9" s="1">
        <f>IF(AD7=Inputs!$E$13,1,0)</f>
        <v>0</v>
      </c>
      <c r="AE9" s="1">
        <f>IF(AE7=Inputs!$E$13,1,0)</f>
        <v>0</v>
      </c>
      <c r="AF9" s="1">
        <f>IF(AF7=Inputs!$E$13,1,0)</f>
        <v>0</v>
      </c>
      <c r="AG9" s="1">
        <f>IF(AG7=Inputs!$E$13,1,0)</f>
        <v>0</v>
      </c>
      <c r="AH9" s="1">
        <f>IF(AH7=Inputs!$E$13,1,0)</f>
        <v>0</v>
      </c>
      <c r="AI9" s="1">
        <f>IF(AI7=Inputs!$E$13,1,0)</f>
        <v>0</v>
      </c>
      <c r="AJ9" s="1">
        <f>IF(AJ7=Inputs!$E$13,1,0)</f>
        <v>0</v>
      </c>
      <c r="AK9" s="1">
        <f>IF(AK7=Inputs!$E$13,1,0)</f>
        <v>0</v>
      </c>
      <c r="AL9" s="1">
        <f>IF(AL7=Inputs!$E$13,1,0)</f>
        <v>0</v>
      </c>
      <c r="AM9" s="1">
        <f>IF(AM7=Inputs!$E$13,1,0)</f>
        <v>0</v>
      </c>
      <c r="AN9" s="1">
        <f>IF(AN7=Inputs!$E$13,1,0)</f>
        <v>0</v>
      </c>
      <c r="AO9" s="1">
        <f>IF(AO7=Inputs!$E$13,1,0)</f>
        <v>0</v>
      </c>
      <c r="AP9" s="1">
        <f>IF(AP7=Inputs!$E$13,1,0)</f>
        <v>0</v>
      </c>
      <c r="AQ9" s="1">
        <f>IF(AQ7=Inputs!$E$13,1,0)</f>
        <v>0</v>
      </c>
      <c r="AR9" s="1">
        <f>IF(AR7=Inputs!$E$13,1,0)</f>
        <v>0</v>
      </c>
    </row>
    <row r="10" spans="1:44" hidden="1">
      <c r="B10" s="1" t="s">
        <v>208</v>
      </c>
      <c r="C10" s="12" t="s">
        <v>56</v>
      </c>
      <c r="F10" s="1">
        <f t="shared" ref="F10:H10" si="4">F7-$I$7+1</f>
        <v>-2</v>
      </c>
      <c r="G10" s="1">
        <f t="shared" si="4"/>
        <v>-1</v>
      </c>
      <c r="H10" s="1">
        <f t="shared" si="4"/>
        <v>0</v>
      </c>
      <c r="I10" s="1">
        <f>I7-$I$7+1</f>
        <v>1</v>
      </c>
      <c r="J10" s="1">
        <f t="shared" ref="J10:AR10" si="5">J7-$I$7+1</f>
        <v>2</v>
      </c>
      <c r="K10" s="1">
        <f t="shared" si="5"/>
        <v>3</v>
      </c>
      <c r="L10" s="1">
        <f t="shared" si="5"/>
        <v>4</v>
      </c>
      <c r="M10" s="1">
        <f t="shared" si="5"/>
        <v>5</v>
      </c>
      <c r="N10" s="1">
        <f t="shared" si="5"/>
        <v>6</v>
      </c>
      <c r="O10" s="1">
        <f t="shared" si="5"/>
        <v>7</v>
      </c>
      <c r="P10" s="1">
        <f t="shared" si="5"/>
        <v>8</v>
      </c>
      <c r="Q10" s="1">
        <f t="shared" si="5"/>
        <v>9</v>
      </c>
      <c r="R10" s="1">
        <f t="shared" si="5"/>
        <v>10</v>
      </c>
      <c r="S10" s="1">
        <f t="shared" si="5"/>
        <v>11</v>
      </c>
      <c r="T10" s="1">
        <f t="shared" si="5"/>
        <v>12</v>
      </c>
      <c r="U10" s="1">
        <f t="shared" si="5"/>
        <v>13</v>
      </c>
      <c r="V10" s="1">
        <f t="shared" si="5"/>
        <v>14</v>
      </c>
      <c r="W10" s="1">
        <f t="shared" si="5"/>
        <v>15</v>
      </c>
      <c r="X10" s="1">
        <f t="shared" si="5"/>
        <v>16</v>
      </c>
      <c r="Y10" s="1">
        <f t="shared" si="5"/>
        <v>17</v>
      </c>
      <c r="Z10" s="1">
        <f t="shared" si="5"/>
        <v>18</v>
      </c>
      <c r="AA10" s="1">
        <f t="shared" si="5"/>
        <v>19</v>
      </c>
      <c r="AB10" s="1">
        <f t="shared" si="5"/>
        <v>20</v>
      </c>
      <c r="AC10" s="1">
        <f t="shared" si="5"/>
        <v>21</v>
      </c>
      <c r="AD10" s="1">
        <f t="shared" si="5"/>
        <v>22</v>
      </c>
      <c r="AE10" s="1">
        <f t="shared" si="5"/>
        <v>23</v>
      </c>
      <c r="AF10" s="1">
        <f t="shared" si="5"/>
        <v>24</v>
      </c>
      <c r="AG10" s="1">
        <f t="shared" si="5"/>
        <v>25</v>
      </c>
      <c r="AH10" s="1">
        <f t="shared" si="5"/>
        <v>26</v>
      </c>
      <c r="AI10" s="1">
        <f t="shared" si="5"/>
        <v>27</v>
      </c>
      <c r="AJ10" s="1">
        <f t="shared" si="5"/>
        <v>28</v>
      </c>
      <c r="AK10" s="1">
        <f t="shared" si="5"/>
        <v>29</v>
      </c>
      <c r="AL10" s="1">
        <f t="shared" si="5"/>
        <v>30</v>
      </c>
      <c r="AM10" s="1">
        <f t="shared" si="5"/>
        <v>31</v>
      </c>
      <c r="AN10" s="1">
        <f t="shared" si="5"/>
        <v>32</v>
      </c>
      <c r="AO10" s="1">
        <f t="shared" si="5"/>
        <v>33</v>
      </c>
      <c r="AP10" s="1">
        <f t="shared" si="5"/>
        <v>34</v>
      </c>
      <c r="AQ10" s="1">
        <f t="shared" si="5"/>
        <v>35</v>
      </c>
      <c r="AR10" s="1">
        <f t="shared" si="5"/>
        <v>36</v>
      </c>
    </row>
    <row r="11" spans="1:44" hidden="1">
      <c r="B11" s="1" t="s">
        <v>209</v>
      </c>
      <c r="C11" s="12" t="s">
        <v>207</v>
      </c>
      <c r="F11" s="1">
        <f>IF(AND(F7&gt;=Inputs!$E$17,F7&lt;Inputs!$E$21),1,0)</f>
        <v>0</v>
      </c>
      <c r="G11" s="1">
        <f>IF(AND(G7&gt;=Inputs!$E$17,G7&lt;Inputs!$E$21),1,0)</f>
        <v>0</v>
      </c>
      <c r="H11" s="1">
        <f>IF(AND(H7&gt;=Inputs!$E$17,H7&lt;Inputs!$E$21),1,0)</f>
        <v>0</v>
      </c>
      <c r="I11" s="1">
        <f>IF(AND(I7&gt;=Inputs!$E$17,I7&lt;Inputs!$E$21),1,0)</f>
        <v>0</v>
      </c>
      <c r="J11" s="1">
        <f>IF(AND(J7&gt;=Inputs!$E$17,J7&lt;Inputs!$E$21),1,0)</f>
        <v>0</v>
      </c>
      <c r="K11" s="1">
        <f>IF(AND(K7&gt;=Inputs!$E$17,K7&lt;Inputs!$E$21),1,0)</f>
        <v>0</v>
      </c>
      <c r="L11" s="1">
        <f>IF(AND(L7&gt;=Inputs!$E$17,L7&lt;Inputs!$E$21),1,0)</f>
        <v>0</v>
      </c>
      <c r="M11" s="1">
        <f>IF(AND(M7&gt;=Inputs!$E$17,M7&lt;Inputs!$E$21),1,0)</f>
        <v>0</v>
      </c>
      <c r="N11" s="1">
        <f>IF(AND(N7&gt;=Inputs!$E$17,N7&lt;Inputs!$E$21),1,0)</f>
        <v>0</v>
      </c>
      <c r="O11" s="1">
        <f>IF(AND(O7&gt;=Inputs!$E$17,O7&lt;Inputs!$E$21),1,0)</f>
        <v>1</v>
      </c>
      <c r="P11" s="1">
        <f>IF(AND(P7&gt;=Inputs!$E$17,P7&lt;Inputs!$E$21),1,0)</f>
        <v>1</v>
      </c>
      <c r="Q11" s="1">
        <f>IF(AND(Q7&gt;=Inputs!$E$17,Q7&lt;Inputs!$E$21),1,0)</f>
        <v>1</v>
      </c>
      <c r="R11" s="1">
        <f>IF(AND(R7&gt;=Inputs!$E$17,R7&lt;Inputs!$E$21),1,0)</f>
        <v>1</v>
      </c>
      <c r="S11" s="1">
        <f>IF(AND(S7&gt;=Inputs!$E$17,S7&lt;Inputs!$E$21),1,0)</f>
        <v>1</v>
      </c>
      <c r="T11" s="1">
        <f>IF(AND(T7&gt;=Inputs!$E$17,T7&lt;Inputs!$E$21),1,0)</f>
        <v>1</v>
      </c>
      <c r="U11" s="1">
        <f>IF(AND(U7&gt;=Inputs!$E$17,U7&lt;Inputs!$E$21),1,0)</f>
        <v>1</v>
      </c>
      <c r="V11" s="1">
        <f>IF(AND(V7&gt;=Inputs!$E$17,V7&lt;Inputs!$E$21),1,0)</f>
        <v>1</v>
      </c>
      <c r="W11" s="1">
        <f>IF(AND(W7&gt;=Inputs!$E$17,W7&lt;Inputs!$E$21),1,0)</f>
        <v>1</v>
      </c>
      <c r="X11" s="1">
        <f>IF(AND(X7&gt;=Inputs!$E$17,X7&lt;Inputs!$E$21),1,0)</f>
        <v>1</v>
      </c>
      <c r="Y11" s="1">
        <f>IF(AND(Y7&gt;=Inputs!$E$17,Y7&lt;Inputs!$E$21),1,0)</f>
        <v>1</v>
      </c>
      <c r="Z11" s="1">
        <f>IF(AND(Z7&gt;=Inputs!$E$17,Z7&lt;Inputs!$E$21),1,0)</f>
        <v>1</v>
      </c>
      <c r="AA11" s="1">
        <f>IF(AND(AA7&gt;=Inputs!$E$17,AA7&lt;Inputs!$E$21),1,0)</f>
        <v>1</v>
      </c>
      <c r="AB11" s="1">
        <f>IF(AND(AB7&gt;=Inputs!$E$17,AB7&lt;Inputs!$E$21),1,0)</f>
        <v>1</v>
      </c>
      <c r="AC11" s="1">
        <f>IF(AND(AC7&gt;=Inputs!$E$17,AC7&lt;Inputs!$E$21),1,0)</f>
        <v>1</v>
      </c>
      <c r="AD11" s="1">
        <f>IF(AND(AD7&gt;=Inputs!$E$17,AD7&lt;Inputs!$E$21),1,0)</f>
        <v>1</v>
      </c>
      <c r="AE11" s="1">
        <f>IF(AND(AE7&gt;=Inputs!$E$17,AE7&lt;Inputs!$E$21),1,0)</f>
        <v>1</v>
      </c>
      <c r="AF11" s="1">
        <f>IF(AND(AF7&gt;=Inputs!$E$17,AF7&lt;Inputs!$E$21),1,0)</f>
        <v>1</v>
      </c>
      <c r="AG11" s="1">
        <f>IF(AND(AG7&gt;=Inputs!$E$17,AG7&lt;Inputs!$E$21),1,0)</f>
        <v>1</v>
      </c>
      <c r="AH11" s="1">
        <f>IF(AND(AH7&gt;=Inputs!$E$17,AH7&lt;Inputs!$E$21),1,0)</f>
        <v>1</v>
      </c>
      <c r="AI11" s="1">
        <f>IF(AND(AI7&gt;=Inputs!$E$17,AI7&lt;Inputs!$E$21),1,0)</f>
        <v>0</v>
      </c>
      <c r="AJ11" s="1">
        <f>IF(AND(AJ7&gt;=Inputs!$E$17,AJ7&lt;Inputs!$E$21),1,0)</f>
        <v>0</v>
      </c>
      <c r="AK11" s="1">
        <f>IF(AND(AK7&gt;=Inputs!$E$17,AK7&lt;Inputs!$E$21),1,0)</f>
        <v>0</v>
      </c>
      <c r="AL11" s="1">
        <f>IF(AND(AL7&gt;=Inputs!$E$17,AL7&lt;Inputs!$E$21),1,0)</f>
        <v>0</v>
      </c>
      <c r="AM11" s="1">
        <f>IF(AND(AM7&gt;=Inputs!$E$17,AM7&lt;Inputs!$E$21),1,0)</f>
        <v>0</v>
      </c>
      <c r="AN11" s="1">
        <f>IF(AND(AN7&gt;=Inputs!$E$17,AN7&lt;Inputs!$E$21),1,0)</f>
        <v>0</v>
      </c>
      <c r="AO11" s="1">
        <f>IF(AND(AO7&gt;=Inputs!$E$17,AO7&lt;Inputs!$E$21),1,0)</f>
        <v>0</v>
      </c>
      <c r="AP11" s="1">
        <f>IF(AND(AP7&gt;=Inputs!$E$17,AP7&lt;Inputs!$E$21),1,0)</f>
        <v>0</v>
      </c>
      <c r="AQ11" s="1">
        <f>IF(AND(AQ7&gt;=Inputs!$E$17,AQ7&lt;Inputs!$E$21),1,0)</f>
        <v>0</v>
      </c>
      <c r="AR11" s="1">
        <f>IF(AND(AR7&gt;=Inputs!$E$17,AR7&lt;Inputs!$E$21),1,0)</f>
        <v>0</v>
      </c>
    </row>
    <row r="12" spans="1:44" ht="15">
      <c r="A12" s="2" t="s">
        <v>210</v>
      </c>
      <c r="C12" s="12"/>
    </row>
    <row r="13" spans="1:44">
      <c r="B13" s="1" t="s">
        <v>211</v>
      </c>
      <c r="C13" s="12" t="s">
        <v>49</v>
      </c>
      <c r="F13" s="1">
        <f>(F11+D13)*F11</f>
        <v>0</v>
      </c>
      <c r="G13" s="1">
        <f t="shared" ref="G13:AG13" si="6">(G11+F13)*G11</f>
        <v>0</v>
      </c>
      <c r="H13" s="1">
        <f t="shared" si="6"/>
        <v>0</v>
      </c>
      <c r="I13" s="1">
        <f t="shared" si="6"/>
        <v>0</v>
      </c>
      <c r="J13" s="1">
        <f t="shared" si="6"/>
        <v>0</v>
      </c>
      <c r="K13" s="1">
        <f t="shared" si="6"/>
        <v>0</v>
      </c>
      <c r="L13" s="1">
        <f t="shared" si="6"/>
        <v>0</v>
      </c>
      <c r="M13" s="1">
        <f t="shared" si="6"/>
        <v>0</v>
      </c>
      <c r="N13" s="1">
        <f t="shared" si="6"/>
        <v>0</v>
      </c>
      <c r="O13" s="1">
        <f t="shared" si="6"/>
        <v>1</v>
      </c>
      <c r="P13" s="1">
        <f t="shared" si="6"/>
        <v>2</v>
      </c>
      <c r="Q13" s="1">
        <f t="shared" si="6"/>
        <v>3</v>
      </c>
      <c r="R13" s="1">
        <f t="shared" si="6"/>
        <v>4</v>
      </c>
      <c r="S13" s="1">
        <f t="shared" si="6"/>
        <v>5</v>
      </c>
      <c r="T13" s="1">
        <f t="shared" si="6"/>
        <v>6</v>
      </c>
      <c r="U13" s="1">
        <f t="shared" si="6"/>
        <v>7</v>
      </c>
      <c r="V13" s="1">
        <f t="shared" si="6"/>
        <v>8</v>
      </c>
      <c r="W13" s="1">
        <f t="shared" si="6"/>
        <v>9</v>
      </c>
      <c r="X13" s="1">
        <f t="shared" si="6"/>
        <v>10</v>
      </c>
      <c r="Y13" s="1">
        <f t="shared" si="6"/>
        <v>11</v>
      </c>
      <c r="Z13" s="1">
        <f t="shared" si="6"/>
        <v>12</v>
      </c>
      <c r="AA13" s="1">
        <f t="shared" si="6"/>
        <v>13</v>
      </c>
      <c r="AB13" s="1">
        <f t="shared" si="6"/>
        <v>14</v>
      </c>
      <c r="AC13" s="1">
        <f t="shared" si="6"/>
        <v>15</v>
      </c>
      <c r="AD13" s="1">
        <f t="shared" si="6"/>
        <v>16</v>
      </c>
      <c r="AE13" s="1">
        <f t="shared" si="6"/>
        <v>17</v>
      </c>
      <c r="AF13" s="1">
        <f t="shared" si="6"/>
        <v>18</v>
      </c>
      <c r="AG13" s="1">
        <f t="shared" si="6"/>
        <v>19</v>
      </c>
      <c r="AH13" s="1">
        <f>(AH11+AG13)*AH11</f>
        <v>20</v>
      </c>
      <c r="AI13" s="1">
        <f t="shared" ref="AI13:AR13" si="7">(AI11+AH13)*AI11</f>
        <v>0</v>
      </c>
      <c r="AJ13" s="1">
        <f t="shared" si="7"/>
        <v>0</v>
      </c>
      <c r="AK13" s="1">
        <f t="shared" si="7"/>
        <v>0</v>
      </c>
      <c r="AL13" s="1">
        <f t="shared" si="7"/>
        <v>0</v>
      </c>
      <c r="AM13" s="1">
        <f t="shared" si="7"/>
        <v>0</v>
      </c>
      <c r="AN13" s="1">
        <f t="shared" si="7"/>
        <v>0</v>
      </c>
      <c r="AO13" s="1">
        <f t="shared" si="7"/>
        <v>0</v>
      </c>
      <c r="AP13" s="1">
        <f t="shared" si="7"/>
        <v>0</v>
      </c>
      <c r="AQ13" s="1">
        <f t="shared" si="7"/>
        <v>0</v>
      </c>
      <c r="AR13" s="1">
        <f t="shared" si="7"/>
        <v>0</v>
      </c>
    </row>
    <row r="14" spans="1:44" ht="15">
      <c r="A14" s="2" t="s">
        <v>9</v>
      </c>
      <c r="C14" s="12"/>
    </row>
    <row r="15" spans="1:44">
      <c r="B15" s="1" t="s">
        <v>65</v>
      </c>
      <c r="C15" s="12" t="s">
        <v>49</v>
      </c>
      <c r="D15" s="73">
        <f>Inputs!E24</f>
        <v>0</v>
      </c>
      <c r="E15" s="73"/>
      <c r="F15" s="3">
        <f>1/(1+$D15)^(F$10-1)</f>
        <v>1</v>
      </c>
      <c r="G15" s="3">
        <f t="shared" ref="G15:AR15" si="8">1/(1+$D15)^(G$10-1)</f>
        <v>1</v>
      </c>
      <c r="H15" s="3">
        <f t="shared" si="8"/>
        <v>1</v>
      </c>
      <c r="I15" s="3">
        <f t="shared" si="8"/>
        <v>1</v>
      </c>
      <c r="J15" s="3">
        <f t="shared" si="8"/>
        <v>1</v>
      </c>
      <c r="K15" s="3">
        <f t="shared" si="8"/>
        <v>1</v>
      </c>
      <c r="L15" s="3">
        <f t="shared" si="8"/>
        <v>1</v>
      </c>
      <c r="M15" s="3">
        <f t="shared" si="8"/>
        <v>1</v>
      </c>
      <c r="N15" s="3">
        <f t="shared" si="8"/>
        <v>1</v>
      </c>
      <c r="O15" s="3">
        <f t="shared" si="8"/>
        <v>1</v>
      </c>
      <c r="P15" s="3">
        <f t="shared" si="8"/>
        <v>1</v>
      </c>
      <c r="Q15" s="3">
        <f t="shared" si="8"/>
        <v>1</v>
      </c>
      <c r="R15" s="3">
        <f t="shared" si="8"/>
        <v>1</v>
      </c>
      <c r="S15" s="3">
        <f t="shared" si="8"/>
        <v>1</v>
      </c>
      <c r="T15" s="3">
        <f t="shared" si="8"/>
        <v>1</v>
      </c>
      <c r="U15" s="3">
        <f t="shared" si="8"/>
        <v>1</v>
      </c>
      <c r="V15" s="3">
        <f t="shared" si="8"/>
        <v>1</v>
      </c>
      <c r="W15" s="3">
        <f t="shared" si="8"/>
        <v>1</v>
      </c>
      <c r="X15" s="3">
        <f t="shared" si="8"/>
        <v>1</v>
      </c>
      <c r="Y15" s="3">
        <f t="shared" si="8"/>
        <v>1</v>
      </c>
      <c r="Z15" s="3">
        <f t="shared" si="8"/>
        <v>1</v>
      </c>
      <c r="AA15" s="3">
        <f t="shared" si="8"/>
        <v>1</v>
      </c>
      <c r="AB15" s="3">
        <f t="shared" si="8"/>
        <v>1</v>
      </c>
      <c r="AC15" s="3">
        <f t="shared" si="8"/>
        <v>1</v>
      </c>
      <c r="AD15" s="3">
        <f t="shared" si="8"/>
        <v>1</v>
      </c>
      <c r="AE15" s="3">
        <f t="shared" si="8"/>
        <v>1</v>
      </c>
      <c r="AF15" s="3">
        <f t="shared" si="8"/>
        <v>1</v>
      </c>
      <c r="AG15" s="3">
        <f t="shared" si="8"/>
        <v>1</v>
      </c>
      <c r="AH15" s="3">
        <f t="shared" si="8"/>
        <v>1</v>
      </c>
      <c r="AI15" s="3">
        <f t="shared" si="8"/>
        <v>1</v>
      </c>
      <c r="AJ15" s="3">
        <f t="shared" si="8"/>
        <v>1</v>
      </c>
      <c r="AK15" s="3">
        <f t="shared" si="8"/>
        <v>1</v>
      </c>
      <c r="AL15" s="3">
        <f t="shared" si="8"/>
        <v>1</v>
      </c>
      <c r="AM15" s="3">
        <f t="shared" si="8"/>
        <v>1</v>
      </c>
      <c r="AN15" s="3">
        <f t="shared" si="8"/>
        <v>1</v>
      </c>
      <c r="AO15" s="3">
        <f t="shared" si="8"/>
        <v>1</v>
      </c>
      <c r="AP15" s="3">
        <f t="shared" si="8"/>
        <v>1</v>
      </c>
      <c r="AQ15" s="3">
        <f t="shared" si="8"/>
        <v>1</v>
      </c>
      <c r="AR15" s="3">
        <f t="shared" si="8"/>
        <v>1</v>
      </c>
    </row>
    <row r="16" spans="1:44">
      <c r="B16" s="1" t="s">
        <v>67</v>
      </c>
      <c r="C16" s="12" t="s">
        <v>49</v>
      </c>
      <c r="D16" s="73">
        <f>Inputs!E25</f>
        <v>0.03</v>
      </c>
      <c r="E16" s="73"/>
      <c r="F16" s="3">
        <f t="shared" ref="F16:G16" si="9">MIN(1,IF(F10=0,1,1/(1+$D16)^(F$10-1)))</f>
        <v>1</v>
      </c>
      <c r="G16" s="3">
        <f t="shared" si="9"/>
        <v>1</v>
      </c>
      <c r="H16" s="3">
        <f>MIN(1,IF(H10=0,1,1/(1+$D16)^(H$10-1)))</f>
        <v>1</v>
      </c>
      <c r="I16" s="3">
        <f t="shared" ref="I16:AR16" si="10">MIN(1,IF(I10=0,1,1/(1+$D16)^(I$10-1)))</f>
        <v>1</v>
      </c>
      <c r="J16" s="3">
        <f t="shared" si="10"/>
        <v>0.970873786407767</v>
      </c>
      <c r="K16" s="3">
        <f t="shared" si="10"/>
        <v>0.94259590913375435</v>
      </c>
      <c r="L16" s="3">
        <f t="shared" si="10"/>
        <v>0.91514165935315961</v>
      </c>
      <c r="M16" s="3">
        <f t="shared" si="10"/>
        <v>0.888487047915689</v>
      </c>
      <c r="N16" s="3">
        <f t="shared" si="10"/>
        <v>0.86260878438416411</v>
      </c>
      <c r="O16" s="3">
        <f t="shared" si="10"/>
        <v>0.83748425668365445</v>
      </c>
      <c r="P16" s="3">
        <f t="shared" si="10"/>
        <v>0.81309151134335378</v>
      </c>
      <c r="Q16" s="3">
        <f t="shared" si="10"/>
        <v>0.78940923431393573</v>
      </c>
      <c r="R16" s="3">
        <f t="shared" si="10"/>
        <v>0.76641673234362695</v>
      </c>
      <c r="S16" s="3">
        <f t="shared" si="10"/>
        <v>0.74409391489672516</v>
      </c>
      <c r="T16" s="3">
        <f t="shared" si="10"/>
        <v>0.72242127659876232</v>
      </c>
      <c r="U16" s="3">
        <f t="shared" si="10"/>
        <v>0.70137988019297326</v>
      </c>
      <c r="V16" s="3">
        <f t="shared" si="10"/>
        <v>0.68095133999317792</v>
      </c>
      <c r="W16" s="3">
        <f t="shared" si="10"/>
        <v>0.66111780581861923</v>
      </c>
      <c r="X16" s="3">
        <f t="shared" si="10"/>
        <v>0.64186194739671765</v>
      </c>
      <c r="Y16" s="3">
        <f t="shared" si="10"/>
        <v>0.62316693922011435</v>
      </c>
      <c r="Z16" s="3">
        <f t="shared" si="10"/>
        <v>0.60501644584477121</v>
      </c>
      <c r="AA16" s="3">
        <f t="shared" si="10"/>
        <v>0.5873946076162827</v>
      </c>
      <c r="AB16" s="3">
        <f t="shared" si="10"/>
        <v>0.57028602681192497</v>
      </c>
      <c r="AC16" s="3">
        <f t="shared" si="10"/>
        <v>0.55367575418633497</v>
      </c>
      <c r="AD16" s="3">
        <f t="shared" si="10"/>
        <v>0.5375492759090631</v>
      </c>
      <c r="AE16" s="3">
        <f t="shared" si="10"/>
        <v>0.52189250088258554</v>
      </c>
      <c r="AF16" s="3">
        <f t="shared" si="10"/>
        <v>0.50669174842969467</v>
      </c>
      <c r="AG16" s="3">
        <f t="shared" si="10"/>
        <v>0.49193373633950943</v>
      </c>
      <c r="AH16" s="3">
        <f t="shared" si="10"/>
        <v>0.47760556926165965</v>
      </c>
      <c r="AI16" s="3">
        <f t="shared" si="10"/>
        <v>0.46369472743850448</v>
      </c>
      <c r="AJ16" s="3">
        <f t="shared" si="10"/>
        <v>0.45018905576553836</v>
      </c>
      <c r="AK16" s="3">
        <f t="shared" si="10"/>
        <v>0.4370767531704256</v>
      </c>
      <c r="AL16" s="3">
        <f t="shared" si="10"/>
        <v>0.42434636230138412</v>
      </c>
      <c r="AM16" s="3">
        <f t="shared" si="10"/>
        <v>0.41198675951590691</v>
      </c>
      <c r="AN16" s="3">
        <f t="shared" si="10"/>
        <v>0.39998714516107459</v>
      </c>
      <c r="AO16" s="3">
        <f t="shared" si="10"/>
        <v>0.38833703413696569</v>
      </c>
      <c r="AP16" s="3">
        <f t="shared" si="10"/>
        <v>0.37702624673491814</v>
      </c>
      <c r="AQ16" s="3">
        <f t="shared" si="10"/>
        <v>0.36604489974263904</v>
      </c>
      <c r="AR16" s="3">
        <f t="shared" si="10"/>
        <v>0.35538339780838735</v>
      </c>
    </row>
    <row r="17" spans="1:44">
      <c r="B17" s="1" t="s">
        <v>68</v>
      </c>
      <c r="C17" s="12" t="s">
        <v>49</v>
      </c>
      <c r="D17" s="73">
        <f>Inputs!E26</f>
        <v>7.0000000000000007E-2</v>
      </c>
      <c r="E17" s="73"/>
      <c r="F17" s="3">
        <f t="shared" ref="F17:G17" si="11">MIN(1,IF(F10=0,1,1/(1+$D17)^(F$10-1)))</f>
        <v>1</v>
      </c>
      <c r="G17" s="3">
        <f t="shared" si="11"/>
        <v>1</v>
      </c>
      <c r="H17" s="3">
        <f>MIN(1,IF(H10=0,1,1/(1+$D17)^(H$10-1)))</f>
        <v>1</v>
      </c>
      <c r="I17" s="3">
        <f t="shared" ref="I17:AR17" si="12">MIN(1,IF(I10=0,1,1/(1+$D17)^(I$10-1)))</f>
        <v>1</v>
      </c>
      <c r="J17" s="3">
        <f t="shared" si="12"/>
        <v>0.93457943925233644</v>
      </c>
      <c r="K17" s="3">
        <f t="shared" si="12"/>
        <v>0.87343872827321156</v>
      </c>
      <c r="L17" s="3">
        <f t="shared" si="12"/>
        <v>0.81629787689085187</v>
      </c>
      <c r="M17" s="3">
        <f t="shared" si="12"/>
        <v>0.7628952120475252</v>
      </c>
      <c r="N17" s="3">
        <f t="shared" si="12"/>
        <v>0.71298617948366838</v>
      </c>
      <c r="O17" s="3">
        <f t="shared" si="12"/>
        <v>0.66634222381651254</v>
      </c>
      <c r="P17" s="3">
        <f t="shared" si="12"/>
        <v>0.62274974188459109</v>
      </c>
      <c r="Q17" s="3">
        <f t="shared" si="12"/>
        <v>0.5820091045650384</v>
      </c>
      <c r="R17" s="3">
        <f t="shared" si="12"/>
        <v>0.54393374258414806</v>
      </c>
      <c r="S17" s="3">
        <f t="shared" si="12"/>
        <v>0.5083492921347178</v>
      </c>
      <c r="T17" s="3">
        <f t="shared" si="12"/>
        <v>0.47509279638758667</v>
      </c>
      <c r="U17" s="3">
        <f t="shared" si="12"/>
        <v>0.44401195924073528</v>
      </c>
      <c r="V17" s="3">
        <f t="shared" si="12"/>
        <v>0.41496444788853759</v>
      </c>
      <c r="W17" s="3">
        <f t="shared" si="12"/>
        <v>0.3878172410173249</v>
      </c>
      <c r="X17" s="3">
        <f t="shared" si="12"/>
        <v>0.36244601964235967</v>
      </c>
      <c r="Y17" s="3">
        <f t="shared" si="12"/>
        <v>0.33873459779659787</v>
      </c>
      <c r="Z17" s="3">
        <f t="shared" si="12"/>
        <v>0.31657439046411018</v>
      </c>
      <c r="AA17" s="3">
        <f t="shared" si="12"/>
        <v>0.29586391632159825</v>
      </c>
      <c r="AB17" s="3">
        <f t="shared" si="12"/>
        <v>0.27650833301083949</v>
      </c>
      <c r="AC17" s="3">
        <f t="shared" si="12"/>
        <v>0.2584190028138687</v>
      </c>
      <c r="AD17" s="3">
        <f t="shared" si="12"/>
        <v>0.24151308674193336</v>
      </c>
      <c r="AE17" s="3">
        <f t="shared" si="12"/>
        <v>0.22571316517937698</v>
      </c>
      <c r="AF17" s="3">
        <f t="shared" si="12"/>
        <v>0.21094688334521211</v>
      </c>
      <c r="AG17" s="3">
        <f t="shared" si="12"/>
        <v>0.19714661994879637</v>
      </c>
      <c r="AH17" s="3">
        <f t="shared" si="12"/>
        <v>0.18424917752223957</v>
      </c>
      <c r="AI17" s="3">
        <f t="shared" si="12"/>
        <v>0.17219549301143888</v>
      </c>
      <c r="AJ17" s="3">
        <f t="shared" si="12"/>
        <v>0.16093036730041013</v>
      </c>
      <c r="AK17" s="3">
        <f t="shared" si="12"/>
        <v>0.15040221243028987</v>
      </c>
      <c r="AL17" s="3">
        <f t="shared" si="12"/>
        <v>0.1405628153554111</v>
      </c>
      <c r="AM17" s="3">
        <f t="shared" si="12"/>
        <v>0.13136711715458982</v>
      </c>
      <c r="AN17" s="3">
        <f t="shared" si="12"/>
        <v>0.1227730066865325</v>
      </c>
      <c r="AO17" s="3">
        <f t="shared" si="12"/>
        <v>0.11474112774442291</v>
      </c>
      <c r="AP17" s="3">
        <f t="shared" si="12"/>
        <v>0.10723469882656347</v>
      </c>
      <c r="AQ17" s="3">
        <f t="shared" si="12"/>
        <v>0.10021934469772288</v>
      </c>
      <c r="AR17" s="3">
        <f t="shared" si="12"/>
        <v>9.366293896983445E-2</v>
      </c>
    </row>
    <row r="19" spans="1:44">
      <c r="B19" s="1" t="s">
        <v>212</v>
      </c>
      <c r="C19" s="1" t="s">
        <v>43</v>
      </c>
      <c r="D19" s="1" t="s">
        <v>44</v>
      </c>
    </row>
    <row r="20" spans="1:44" s="329" customFormat="1">
      <c r="A20" s="330" t="s">
        <v>213</v>
      </c>
    </row>
    <row r="21" spans="1:44" ht="15">
      <c r="A21" s="2" t="s">
        <v>214</v>
      </c>
    </row>
    <row r="22" spans="1:44">
      <c r="B22" s="1" t="s">
        <v>22</v>
      </c>
      <c r="C22" s="87" t="s">
        <v>80</v>
      </c>
      <c r="D22" s="86">
        <f t="shared" ref="D22:D27" si="13">SUM(F22:AR22)</f>
        <v>0</v>
      </c>
      <c r="F22" s="19">
        <v>0</v>
      </c>
      <c r="G22" s="19">
        <v>0</v>
      </c>
      <c r="H22" s="19">
        <v>0</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19">
        <v>0</v>
      </c>
      <c r="AI22" s="19">
        <v>0</v>
      </c>
      <c r="AJ22" s="19">
        <v>0</v>
      </c>
      <c r="AK22" s="19">
        <v>0</v>
      </c>
      <c r="AL22" s="19">
        <v>0</v>
      </c>
      <c r="AM22" s="19">
        <v>0</v>
      </c>
      <c r="AN22" s="19">
        <v>0</v>
      </c>
      <c r="AO22" s="19">
        <v>0</v>
      </c>
      <c r="AP22" s="19">
        <v>0</v>
      </c>
      <c r="AQ22" s="19">
        <v>0</v>
      </c>
      <c r="AR22" s="19">
        <v>0</v>
      </c>
    </row>
    <row r="23" spans="1:44">
      <c r="B23" s="1" t="s">
        <v>215</v>
      </c>
      <c r="C23" s="87" t="s">
        <v>80</v>
      </c>
      <c r="D23" s="86">
        <f t="shared" si="13"/>
        <v>0</v>
      </c>
      <c r="F23" s="19">
        <v>0</v>
      </c>
      <c r="G23" s="19">
        <v>0</v>
      </c>
      <c r="H23" s="19">
        <v>0</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0</v>
      </c>
      <c r="AA23" s="19">
        <v>0</v>
      </c>
      <c r="AB23" s="19">
        <v>0</v>
      </c>
      <c r="AC23" s="19">
        <v>0</v>
      </c>
      <c r="AD23" s="19">
        <v>0</v>
      </c>
      <c r="AE23" s="19">
        <v>0</v>
      </c>
      <c r="AF23" s="19">
        <v>0</v>
      </c>
      <c r="AG23" s="19">
        <v>0</v>
      </c>
      <c r="AH23" s="19">
        <v>0</v>
      </c>
      <c r="AI23" s="19">
        <v>0</v>
      </c>
      <c r="AJ23" s="19">
        <v>0</v>
      </c>
      <c r="AK23" s="19">
        <v>0</v>
      </c>
      <c r="AL23" s="19">
        <v>0</v>
      </c>
      <c r="AM23" s="19">
        <v>0</v>
      </c>
      <c r="AN23" s="19">
        <v>0</v>
      </c>
      <c r="AO23" s="19">
        <v>0</v>
      </c>
      <c r="AP23" s="19">
        <v>0</v>
      </c>
      <c r="AQ23" s="19">
        <v>0</v>
      </c>
      <c r="AR23" s="19">
        <v>0</v>
      </c>
    </row>
    <row r="24" spans="1:44">
      <c r="B24" s="1" t="s">
        <v>216</v>
      </c>
      <c r="C24" s="87" t="s">
        <v>80</v>
      </c>
      <c r="D24" s="86">
        <f t="shared" si="13"/>
        <v>0</v>
      </c>
      <c r="F24" s="19">
        <v>0</v>
      </c>
      <c r="G24" s="19">
        <v>0</v>
      </c>
      <c r="H24" s="19">
        <v>0</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19">
        <v>0</v>
      </c>
      <c r="AI24" s="19">
        <v>0</v>
      </c>
      <c r="AJ24" s="19">
        <v>0</v>
      </c>
      <c r="AK24" s="19">
        <v>0</v>
      </c>
      <c r="AL24" s="19">
        <v>0</v>
      </c>
      <c r="AM24" s="19">
        <v>0</v>
      </c>
      <c r="AN24" s="19">
        <v>0</v>
      </c>
      <c r="AO24" s="19">
        <v>0</v>
      </c>
      <c r="AP24" s="19">
        <v>0</v>
      </c>
      <c r="AQ24" s="19">
        <v>0</v>
      </c>
      <c r="AR24" s="19">
        <v>0</v>
      </c>
    </row>
    <row r="25" spans="1:44">
      <c r="B25" s="1" t="s">
        <v>217</v>
      </c>
      <c r="C25" s="87" t="s">
        <v>80</v>
      </c>
      <c r="D25" s="86">
        <f t="shared" si="13"/>
        <v>0</v>
      </c>
      <c r="F25" s="19">
        <v>0</v>
      </c>
      <c r="G25" s="19">
        <v>0</v>
      </c>
      <c r="H25" s="19">
        <v>0</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0</v>
      </c>
      <c r="AH25" s="19">
        <v>0</v>
      </c>
      <c r="AI25" s="19">
        <v>0</v>
      </c>
      <c r="AJ25" s="19">
        <v>0</v>
      </c>
      <c r="AK25" s="19">
        <v>0</v>
      </c>
      <c r="AL25" s="19">
        <v>0</v>
      </c>
      <c r="AM25" s="19">
        <v>0</v>
      </c>
      <c r="AN25" s="19">
        <v>0</v>
      </c>
      <c r="AO25" s="19">
        <v>0</v>
      </c>
      <c r="AP25" s="19">
        <v>0</v>
      </c>
      <c r="AQ25" s="19">
        <v>0</v>
      </c>
      <c r="AR25" s="19">
        <v>0</v>
      </c>
    </row>
    <row r="26" spans="1:44">
      <c r="B26" s="68" t="s">
        <v>218</v>
      </c>
      <c r="C26" s="95" t="s">
        <v>80</v>
      </c>
      <c r="D26" s="96">
        <f t="shared" si="13"/>
        <v>0</v>
      </c>
      <c r="E26" s="68"/>
      <c r="F26" s="97">
        <v>0</v>
      </c>
      <c r="G26" s="97">
        <v>0</v>
      </c>
      <c r="H26" s="97">
        <v>0</v>
      </c>
      <c r="I26" s="97">
        <v>0</v>
      </c>
      <c r="J26" s="97">
        <v>0</v>
      </c>
      <c r="K26" s="97">
        <v>0</v>
      </c>
      <c r="L26" s="97">
        <v>0</v>
      </c>
      <c r="M26" s="97">
        <v>0</v>
      </c>
      <c r="N26" s="97">
        <v>0</v>
      </c>
      <c r="O26" s="97">
        <v>0</v>
      </c>
      <c r="P26" s="97">
        <v>0</v>
      </c>
      <c r="Q26" s="97">
        <v>0</v>
      </c>
      <c r="R26" s="97">
        <v>0</v>
      </c>
      <c r="S26" s="97">
        <v>0</v>
      </c>
      <c r="T26" s="97">
        <v>0</v>
      </c>
      <c r="U26" s="97">
        <v>0</v>
      </c>
      <c r="V26" s="97">
        <v>0</v>
      </c>
      <c r="W26" s="97">
        <v>0</v>
      </c>
      <c r="X26" s="97">
        <v>0</v>
      </c>
      <c r="Y26" s="97">
        <v>0</v>
      </c>
      <c r="Z26" s="97">
        <v>0</v>
      </c>
      <c r="AA26" s="97">
        <v>0</v>
      </c>
      <c r="AB26" s="97">
        <v>0</v>
      </c>
      <c r="AC26" s="97">
        <v>0</v>
      </c>
      <c r="AD26" s="97">
        <v>0</v>
      </c>
      <c r="AE26" s="97">
        <v>0</v>
      </c>
      <c r="AF26" s="97">
        <v>0</v>
      </c>
      <c r="AG26" s="97">
        <v>0</v>
      </c>
      <c r="AH26" s="97">
        <v>0</v>
      </c>
      <c r="AI26" s="97">
        <v>0</v>
      </c>
      <c r="AJ26" s="97">
        <v>0</v>
      </c>
      <c r="AK26" s="97">
        <v>0</v>
      </c>
      <c r="AL26" s="97">
        <v>0</v>
      </c>
      <c r="AM26" s="97">
        <v>0</v>
      </c>
      <c r="AN26" s="97">
        <v>0</v>
      </c>
      <c r="AO26" s="97">
        <v>0</v>
      </c>
      <c r="AP26" s="97">
        <v>0</v>
      </c>
      <c r="AQ26" s="97">
        <v>0</v>
      </c>
      <c r="AR26" s="97">
        <v>0</v>
      </c>
    </row>
    <row r="27" spans="1:44">
      <c r="B27" s="1" t="s">
        <v>219</v>
      </c>
      <c r="C27" s="87" t="s">
        <v>80</v>
      </c>
      <c r="D27" s="86">
        <f t="shared" si="13"/>
        <v>0</v>
      </c>
      <c r="F27" s="19">
        <f>SUM(F22:F26)</f>
        <v>0</v>
      </c>
      <c r="G27" s="19">
        <f t="shared" ref="G27:AR27" si="14">SUM(G22:G26)</f>
        <v>0</v>
      </c>
      <c r="H27" s="19">
        <f t="shared" si="14"/>
        <v>0</v>
      </c>
      <c r="I27" s="19">
        <f t="shared" si="14"/>
        <v>0</v>
      </c>
      <c r="J27" s="19">
        <f t="shared" si="14"/>
        <v>0</v>
      </c>
      <c r="K27" s="19">
        <f t="shared" si="14"/>
        <v>0</v>
      </c>
      <c r="L27" s="19">
        <f t="shared" si="14"/>
        <v>0</v>
      </c>
      <c r="M27" s="19">
        <f t="shared" si="14"/>
        <v>0</v>
      </c>
      <c r="N27" s="19">
        <f t="shared" si="14"/>
        <v>0</v>
      </c>
      <c r="O27" s="19">
        <f t="shared" si="14"/>
        <v>0</v>
      </c>
      <c r="P27" s="19">
        <f t="shared" si="14"/>
        <v>0</v>
      </c>
      <c r="Q27" s="19">
        <f t="shared" si="14"/>
        <v>0</v>
      </c>
      <c r="R27" s="19">
        <f t="shared" si="14"/>
        <v>0</v>
      </c>
      <c r="S27" s="19">
        <f t="shared" si="14"/>
        <v>0</v>
      </c>
      <c r="T27" s="19">
        <f t="shared" si="14"/>
        <v>0</v>
      </c>
      <c r="U27" s="19">
        <f t="shared" si="14"/>
        <v>0</v>
      </c>
      <c r="V27" s="19">
        <f t="shared" si="14"/>
        <v>0</v>
      </c>
      <c r="W27" s="19">
        <f t="shared" si="14"/>
        <v>0</v>
      </c>
      <c r="X27" s="19">
        <f t="shared" si="14"/>
        <v>0</v>
      </c>
      <c r="Y27" s="19">
        <f t="shared" si="14"/>
        <v>0</v>
      </c>
      <c r="Z27" s="19">
        <f t="shared" si="14"/>
        <v>0</v>
      </c>
      <c r="AA27" s="19">
        <f t="shared" si="14"/>
        <v>0</v>
      </c>
      <c r="AB27" s="19">
        <f t="shared" si="14"/>
        <v>0</v>
      </c>
      <c r="AC27" s="19">
        <f t="shared" si="14"/>
        <v>0</v>
      </c>
      <c r="AD27" s="19">
        <f t="shared" si="14"/>
        <v>0</v>
      </c>
      <c r="AE27" s="19">
        <f t="shared" si="14"/>
        <v>0</v>
      </c>
      <c r="AF27" s="19">
        <f t="shared" si="14"/>
        <v>0</v>
      </c>
      <c r="AG27" s="19">
        <f t="shared" si="14"/>
        <v>0</v>
      </c>
      <c r="AH27" s="19">
        <f t="shared" si="14"/>
        <v>0</v>
      </c>
      <c r="AI27" s="19">
        <f t="shared" si="14"/>
        <v>0</v>
      </c>
      <c r="AJ27" s="19">
        <f t="shared" si="14"/>
        <v>0</v>
      </c>
      <c r="AK27" s="19">
        <f t="shared" si="14"/>
        <v>0</v>
      </c>
      <c r="AL27" s="19">
        <f t="shared" si="14"/>
        <v>0</v>
      </c>
      <c r="AM27" s="19">
        <f t="shared" si="14"/>
        <v>0</v>
      </c>
      <c r="AN27" s="19">
        <f t="shared" si="14"/>
        <v>0</v>
      </c>
      <c r="AO27" s="19">
        <f t="shared" si="14"/>
        <v>0</v>
      </c>
      <c r="AP27" s="19">
        <f t="shared" si="14"/>
        <v>0</v>
      </c>
      <c r="AQ27" s="19">
        <f t="shared" si="14"/>
        <v>0</v>
      </c>
      <c r="AR27" s="19">
        <f t="shared" si="14"/>
        <v>0</v>
      </c>
    </row>
    <row r="28" spans="1:44">
      <c r="C28" s="12"/>
    </row>
    <row r="29" spans="1:44" ht="15">
      <c r="B29" s="2" t="s">
        <v>220</v>
      </c>
      <c r="C29" s="12"/>
    </row>
    <row r="30" spans="1:44">
      <c r="B30" s="1" t="s">
        <v>221</v>
      </c>
      <c r="C30" s="87" t="s">
        <v>80</v>
      </c>
      <c r="D30" s="86">
        <f>SUM(F30:AR30)</f>
        <v>0</v>
      </c>
      <c r="E30" s="19"/>
      <c r="F30" s="19">
        <f>F27*F$15</f>
        <v>0</v>
      </c>
      <c r="G30" s="19">
        <f t="shared" ref="G30:AR30" si="15">G27*G$15</f>
        <v>0</v>
      </c>
      <c r="H30" s="19">
        <f t="shared" si="15"/>
        <v>0</v>
      </c>
      <c r="I30" s="19">
        <f t="shared" si="15"/>
        <v>0</v>
      </c>
      <c r="J30" s="19">
        <f t="shared" si="15"/>
        <v>0</v>
      </c>
      <c r="K30" s="19">
        <f t="shared" si="15"/>
        <v>0</v>
      </c>
      <c r="L30" s="19">
        <f t="shared" si="15"/>
        <v>0</v>
      </c>
      <c r="M30" s="19">
        <f t="shared" si="15"/>
        <v>0</v>
      </c>
      <c r="N30" s="19">
        <f t="shared" si="15"/>
        <v>0</v>
      </c>
      <c r="O30" s="19">
        <f t="shared" si="15"/>
        <v>0</v>
      </c>
      <c r="P30" s="19">
        <f t="shared" si="15"/>
        <v>0</v>
      </c>
      <c r="Q30" s="19">
        <f t="shared" si="15"/>
        <v>0</v>
      </c>
      <c r="R30" s="19">
        <f t="shared" si="15"/>
        <v>0</v>
      </c>
      <c r="S30" s="19">
        <f t="shared" si="15"/>
        <v>0</v>
      </c>
      <c r="T30" s="19">
        <f t="shared" si="15"/>
        <v>0</v>
      </c>
      <c r="U30" s="19">
        <f t="shared" si="15"/>
        <v>0</v>
      </c>
      <c r="V30" s="19">
        <f t="shared" si="15"/>
        <v>0</v>
      </c>
      <c r="W30" s="19">
        <f t="shared" si="15"/>
        <v>0</v>
      </c>
      <c r="X30" s="19">
        <f t="shared" si="15"/>
        <v>0</v>
      </c>
      <c r="Y30" s="19">
        <f t="shared" si="15"/>
        <v>0</v>
      </c>
      <c r="Z30" s="19">
        <f t="shared" si="15"/>
        <v>0</v>
      </c>
      <c r="AA30" s="19">
        <f t="shared" si="15"/>
        <v>0</v>
      </c>
      <c r="AB30" s="19">
        <f t="shared" si="15"/>
        <v>0</v>
      </c>
      <c r="AC30" s="19">
        <f t="shared" si="15"/>
        <v>0</v>
      </c>
      <c r="AD30" s="19">
        <f t="shared" si="15"/>
        <v>0</v>
      </c>
      <c r="AE30" s="19">
        <f t="shared" si="15"/>
        <v>0</v>
      </c>
      <c r="AF30" s="19">
        <f t="shared" si="15"/>
        <v>0</v>
      </c>
      <c r="AG30" s="19">
        <f t="shared" si="15"/>
        <v>0</v>
      </c>
      <c r="AH30" s="19">
        <f t="shared" si="15"/>
        <v>0</v>
      </c>
      <c r="AI30" s="19">
        <f t="shared" si="15"/>
        <v>0</v>
      </c>
      <c r="AJ30" s="19">
        <f t="shared" si="15"/>
        <v>0</v>
      </c>
      <c r="AK30" s="19">
        <f t="shared" si="15"/>
        <v>0</v>
      </c>
      <c r="AL30" s="19">
        <f t="shared" si="15"/>
        <v>0</v>
      </c>
      <c r="AM30" s="19">
        <f t="shared" si="15"/>
        <v>0</v>
      </c>
      <c r="AN30" s="19">
        <f t="shared" si="15"/>
        <v>0</v>
      </c>
      <c r="AO30" s="19">
        <f t="shared" si="15"/>
        <v>0</v>
      </c>
      <c r="AP30" s="19">
        <f t="shared" si="15"/>
        <v>0</v>
      </c>
      <c r="AQ30" s="19">
        <f t="shared" si="15"/>
        <v>0</v>
      </c>
      <c r="AR30" s="19">
        <f t="shared" si="15"/>
        <v>0</v>
      </c>
    </row>
    <row r="31" spans="1:44">
      <c r="B31" s="1" t="s">
        <v>222</v>
      </c>
      <c r="C31" s="87" t="s">
        <v>80</v>
      </c>
      <c r="D31" s="86">
        <f>SUM(F31:AR31)</f>
        <v>0</v>
      </c>
      <c r="E31" s="19"/>
      <c r="F31" s="19">
        <f>F27*F$16</f>
        <v>0</v>
      </c>
      <c r="G31" s="19">
        <f t="shared" ref="G31:AR31" si="16">G27*G$16</f>
        <v>0</v>
      </c>
      <c r="H31" s="19">
        <f t="shared" si="16"/>
        <v>0</v>
      </c>
      <c r="I31" s="19">
        <f t="shared" si="16"/>
        <v>0</v>
      </c>
      <c r="J31" s="19">
        <f t="shared" si="16"/>
        <v>0</v>
      </c>
      <c r="K31" s="19">
        <f t="shared" si="16"/>
        <v>0</v>
      </c>
      <c r="L31" s="19">
        <f t="shared" si="16"/>
        <v>0</v>
      </c>
      <c r="M31" s="19">
        <f t="shared" si="16"/>
        <v>0</v>
      </c>
      <c r="N31" s="19">
        <f t="shared" si="16"/>
        <v>0</v>
      </c>
      <c r="O31" s="19">
        <f t="shared" si="16"/>
        <v>0</v>
      </c>
      <c r="P31" s="19">
        <f t="shared" si="16"/>
        <v>0</v>
      </c>
      <c r="Q31" s="19">
        <f t="shared" si="16"/>
        <v>0</v>
      </c>
      <c r="R31" s="19">
        <f t="shared" si="16"/>
        <v>0</v>
      </c>
      <c r="S31" s="19">
        <f t="shared" si="16"/>
        <v>0</v>
      </c>
      <c r="T31" s="19">
        <f t="shared" si="16"/>
        <v>0</v>
      </c>
      <c r="U31" s="19">
        <f t="shared" si="16"/>
        <v>0</v>
      </c>
      <c r="V31" s="19">
        <f t="shared" si="16"/>
        <v>0</v>
      </c>
      <c r="W31" s="19">
        <f t="shared" si="16"/>
        <v>0</v>
      </c>
      <c r="X31" s="19">
        <f t="shared" si="16"/>
        <v>0</v>
      </c>
      <c r="Y31" s="19">
        <f t="shared" si="16"/>
        <v>0</v>
      </c>
      <c r="Z31" s="19">
        <f t="shared" si="16"/>
        <v>0</v>
      </c>
      <c r="AA31" s="19">
        <f t="shared" si="16"/>
        <v>0</v>
      </c>
      <c r="AB31" s="19">
        <f t="shared" si="16"/>
        <v>0</v>
      </c>
      <c r="AC31" s="19">
        <f t="shared" si="16"/>
        <v>0</v>
      </c>
      <c r="AD31" s="19">
        <f t="shared" si="16"/>
        <v>0</v>
      </c>
      <c r="AE31" s="19">
        <f t="shared" si="16"/>
        <v>0</v>
      </c>
      <c r="AF31" s="19">
        <f t="shared" si="16"/>
        <v>0</v>
      </c>
      <c r="AG31" s="19">
        <f t="shared" si="16"/>
        <v>0</v>
      </c>
      <c r="AH31" s="19">
        <f t="shared" si="16"/>
        <v>0</v>
      </c>
      <c r="AI31" s="19">
        <f t="shared" si="16"/>
        <v>0</v>
      </c>
      <c r="AJ31" s="19">
        <f t="shared" si="16"/>
        <v>0</v>
      </c>
      <c r="AK31" s="19">
        <f t="shared" si="16"/>
        <v>0</v>
      </c>
      <c r="AL31" s="19">
        <f t="shared" si="16"/>
        <v>0</v>
      </c>
      <c r="AM31" s="19">
        <f t="shared" si="16"/>
        <v>0</v>
      </c>
      <c r="AN31" s="19">
        <f t="shared" si="16"/>
        <v>0</v>
      </c>
      <c r="AO31" s="19">
        <f t="shared" si="16"/>
        <v>0</v>
      </c>
      <c r="AP31" s="19">
        <f t="shared" si="16"/>
        <v>0</v>
      </c>
      <c r="AQ31" s="19">
        <f t="shared" si="16"/>
        <v>0</v>
      </c>
      <c r="AR31" s="19">
        <f t="shared" si="16"/>
        <v>0</v>
      </c>
    </row>
    <row r="32" spans="1:44">
      <c r="B32" s="1" t="s">
        <v>223</v>
      </c>
      <c r="C32" s="87" t="s">
        <v>80</v>
      </c>
      <c r="D32" s="86">
        <f>SUM(F32:AR32)</f>
        <v>0</v>
      </c>
      <c r="E32" s="19"/>
      <c r="F32" s="19">
        <f>F27*F$17</f>
        <v>0</v>
      </c>
      <c r="G32" s="19">
        <f t="shared" ref="G32:AR32" si="17">G27*G$17</f>
        <v>0</v>
      </c>
      <c r="H32" s="19">
        <f t="shared" si="17"/>
        <v>0</v>
      </c>
      <c r="I32" s="19">
        <f t="shared" si="17"/>
        <v>0</v>
      </c>
      <c r="J32" s="19">
        <f t="shared" si="17"/>
        <v>0</v>
      </c>
      <c r="K32" s="19">
        <f t="shared" si="17"/>
        <v>0</v>
      </c>
      <c r="L32" s="19">
        <f t="shared" si="17"/>
        <v>0</v>
      </c>
      <c r="M32" s="19">
        <f t="shared" si="17"/>
        <v>0</v>
      </c>
      <c r="N32" s="19">
        <f t="shared" si="17"/>
        <v>0</v>
      </c>
      <c r="O32" s="19">
        <f t="shared" si="17"/>
        <v>0</v>
      </c>
      <c r="P32" s="19">
        <f t="shared" si="17"/>
        <v>0</v>
      </c>
      <c r="Q32" s="19">
        <f t="shared" si="17"/>
        <v>0</v>
      </c>
      <c r="R32" s="19">
        <f t="shared" si="17"/>
        <v>0</v>
      </c>
      <c r="S32" s="19">
        <f t="shared" si="17"/>
        <v>0</v>
      </c>
      <c r="T32" s="19">
        <f t="shared" si="17"/>
        <v>0</v>
      </c>
      <c r="U32" s="19">
        <f t="shared" si="17"/>
        <v>0</v>
      </c>
      <c r="V32" s="19">
        <f t="shared" si="17"/>
        <v>0</v>
      </c>
      <c r="W32" s="19">
        <f t="shared" si="17"/>
        <v>0</v>
      </c>
      <c r="X32" s="19">
        <f t="shared" si="17"/>
        <v>0</v>
      </c>
      <c r="Y32" s="19">
        <f t="shared" si="17"/>
        <v>0</v>
      </c>
      <c r="Z32" s="19">
        <f t="shared" si="17"/>
        <v>0</v>
      </c>
      <c r="AA32" s="19">
        <f t="shared" si="17"/>
        <v>0</v>
      </c>
      <c r="AB32" s="19">
        <f t="shared" si="17"/>
        <v>0</v>
      </c>
      <c r="AC32" s="19">
        <f t="shared" si="17"/>
        <v>0</v>
      </c>
      <c r="AD32" s="19">
        <f t="shared" si="17"/>
        <v>0</v>
      </c>
      <c r="AE32" s="19">
        <f t="shared" si="17"/>
        <v>0</v>
      </c>
      <c r="AF32" s="19">
        <f t="shared" si="17"/>
        <v>0</v>
      </c>
      <c r="AG32" s="19">
        <f t="shared" si="17"/>
        <v>0</v>
      </c>
      <c r="AH32" s="19">
        <f t="shared" si="17"/>
        <v>0</v>
      </c>
      <c r="AI32" s="19">
        <f t="shared" si="17"/>
        <v>0</v>
      </c>
      <c r="AJ32" s="19">
        <f t="shared" si="17"/>
        <v>0</v>
      </c>
      <c r="AK32" s="19">
        <f t="shared" si="17"/>
        <v>0</v>
      </c>
      <c r="AL32" s="19">
        <f t="shared" si="17"/>
        <v>0</v>
      </c>
      <c r="AM32" s="19">
        <f t="shared" si="17"/>
        <v>0</v>
      </c>
      <c r="AN32" s="19">
        <f t="shared" si="17"/>
        <v>0</v>
      </c>
      <c r="AO32" s="19">
        <f t="shared" si="17"/>
        <v>0</v>
      </c>
      <c r="AP32" s="19">
        <f t="shared" si="17"/>
        <v>0</v>
      </c>
      <c r="AQ32" s="19">
        <f t="shared" si="17"/>
        <v>0</v>
      </c>
      <c r="AR32" s="19">
        <f t="shared" si="17"/>
        <v>0</v>
      </c>
    </row>
    <row r="33" spans="1:44">
      <c r="C33" s="87"/>
      <c r="D33" s="86"/>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row>
    <row r="34" spans="1:44" ht="15">
      <c r="A34" s="2" t="s">
        <v>224</v>
      </c>
      <c r="C34" s="87"/>
      <c r="D34" s="86"/>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row>
    <row r="35" spans="1:44">
      <c r="B35" s="68" t="s">
        <v>23</v>
      </c>
      <c r="C35" s="95" t="s">
        <v>80</v>
      </c>
      <c r="D35" s="96">
        <f>SUM(F35:AR35)</f>
        <v>3809701.2429013159</v>
      </c>
      <c r="E35" s="68"/>
      <c r="F35" s="97">
        <f>IFERROR(VLOOKUP(F$7,'REF Project Costs'!$A$4:$I$16,2,FALSE),0)</f>
        <v>0</v>
      </c>
      <c r="G35" s="97">
        <f>IFERROR(VLOOKUP(G$7,'REF Project Costs'!$A$4:$I$16,2,FALSE),0)</f>
        <v>0</v>
      </c>
      <c r="H35" s="97">
        <f>IFERROR(VLOOKUP(H$7,'REF Project Costs'!$A$4:$I$16,2,FALSE),0)</f>
        <v>0</v>
      </c>
      <c r="I35" s="97">
        <f>IFERROR(VLOOKUP(I$7,'REF Project Costs'!$A$4:$I$16,2,FALSE),0)</f>
        <v>0</v>
      </c>
      <c r="J35" s="97">
        <f>IFERROR(VLOOKUP(J$7,'REF Project Costs'!$A$4:$I$16,2,FALSE),0)</f>
        <v>0</v>
      </c>
      <c r="K35" s="97">
        <f>IFERROR(VLOOKUP(K$7,'REF Project Costs'!$A$4:$I$16,2,FALSE),0)</f>
        <v>0</v>
      </c>
      <c r="L35" s="97">
        <f>IFERROR(VLOOKUP(L$7,'REF Project Costs'!$A$4:$I$16,2,FALSE),0)</f>
        <v>0</v>
      </c>
      <c r="M35" s="97">
        <f>IFERROR(VLOOKUP(M$7,'REF Project Costs'!$A$4:$I$16,2,FALSE),0)</f>
        <v>0</v>
      </c>
      <c r="N35" s="97">
        <f>IFERROR(VLOOKUP(N$7,'REF Project Costs'!$A$4:$I$16,2,FALSE),0)</f>
        <v>0</v>
      </c>
      <c r="O35" s="97">
        <f>IFERROR(VLOOKUP(O$7,'REF Project Costs'!$A$4:$I$16,2,FALSE),0)</f>
        <v>0</v>
      </c>
      <c r="P35" s="97">
        <f>IFERROR(VLOOKUP(P$7,'REF Project Costs'!$A$4:$I$16,2,FALSE),0)</f>
        <v>0</v>
      </c>
      <c r="Q35" s="97">
        <f>IFERROR(VLOOKUP(Q$7,'REF Project Costs'!$A$4:$I$16,2,FALSE),0)</f>
        <v>0</v>
      </c>
      <c r="R35" s="97">
        <f>IFERROR(VLOOKUP(R$7,'REF Project Costs'!$A$4:$I$16,2,FALSE),0)</f>
        <v>1453891.6675087409</v>
      </c>
      <c r="S35" s="97">
        <f>IFERROR(VLOOKUP(S$7,'REF Project Costs'!$A$4:$I$16,2,FALSE),0)</f>
        <v>0</v>
      </c>
      <c r="T35" s="97">
        <f>IFERROR(VLOOKUP(T$7,'REF Project Costs'!$A$4:$I$16,2,FALSE),0)</f>
        <v>0</v>
      </c>
      <c r="U35" s="97">
        <f>IFERROR(VLOOKUP(U$7,'REF Project Costs'!$A$4:$I$16,2,FALSE),0)</f>
        <v>0</v>
      </c>
      <c r="V35" s="97">
        <f>IFERROR(VLOOKUP(V$7,'REF Project Costs'!$A$4:$I$16,2,FALSE),0)</f>
        <v>0</v>
      </c>
      <c r="W35" s="97">
        <f>IFERROR(VLOOKUP(W$7,'REF Project Costs'!$A$4:$I$16,2,FALSE),0)</f>
        <v>901917.90788383433</v>
      </c>
      <c r="X35" s="97">
        <f>IFERROR(VLOOKUP(X$7,'REF Project Costs'!$A$4:$I$16,2,FALSE),0)</f>
        <v>0</v>
      </c>
      <c r="Y35" s="97">
        <f>IFERROR(VLOOKUP(Y$7,'REF Project Costs'!$A$4:$I$16,2,FALSE),0)</f>
        <v>0</v>
      </c>
      <c r="Z35" s="97">
        <f>IFERROR(VLOOKUP(Z$7,'REF Project Costs'!$A$4:$I$16,2,FALSE),0)</f>
        <v>0</v>
      </c>
      <c r="AA35" s="97">
        <f>IFERROR(VLOOKUP(AA$7,'REF Project Costs'!$A$4:$I$16,2,FALSE),0)</f>
        <v>0</v>
      </c>
      <c r="AB35" s="97">
        <f>IFERROR(VLOOKUP(AB$7,'REF Project Costs'!$A$4:$I$16,2,FALSE),0)</f>
        <v>0</v>
      </c>
      <c r="AC35" s="97">
        <f>IFERROR(VLOOKUP(AC$7,'REF Project Costs'!$A$4:$I$16,2,FALSE),0)</f>
        <v>0</v>
      </c>
      <c r="AD35" s="97">
        <f>IFERROR(VLOOKUP(AD$7,'REF Project Costs'!$A$4:$I$16,2,FALSE),0)</f>
        <v>0</v>
      </c>
      <c r="AE35" s="97">
        <f>IFERROR(VLOOKUP(AE$7,'REF Project Costs'!$A$4:$I$16,2,FALSE),0)</f>
        <v>0</v>
      </c>
      <c r="AF35" s="97">
        <f>IFERROR(VLOOKUP(AF$7,'REF Project Costs'!$A$4:$I$16,2,FALSE),0)</f>
        <v>0</v>
      </c>
      <c r="AG35" s="97">
        <f>IFERROR(VLOOKUP(AG$7,'REF Project Costs'!$A$4:$I$16,2,FALSE),0)</f>
        <v>1453891.6675087409</v>
      </c>
      <c r="AH35" s="97">
        <f>IFERROR(VLOOKUP(AH$7,'REF Project Costs'!$A$4:$I$16,2,FALSE),0)</f>
        <v>0</v>
      </c>
      <c r="AI35" s="97">
        <f>IFERROR(VLOOKUP(AI$7,'REF Project Costs'!$A$4:$I$16,2,FALSE),0)</f>
        <v>0</v>
      </c>
      <c r="AJ35" s="97">
        <f>IFERROR(VLOOKUP(AJ$7,'REF Project Costs'!$A$4:$I$16,2,FALSE),0)</f>
        <v>0</v>
      </c>
      <c r="AK35" s="97">
        <f>IFERROR(VLOOKUP(AK$7,'REF Project Costs'!$A$4:$I$16,2,FALSE),0)</f>
        <v>0</v>
      </c>
      <c r="AL35" s="97">
        <f>IFERROR(VLOOKUP(AL$7,'REF Project Costs'!$A$4:$I$16,2,FALSE),0)</f>
        <v>0</v>
      </c>
      <c r="AM35" s="97">
        <f>IFERROR(VLOOKUP(AM$7,'REF Project Costs'!$A$4:$I$16,2,FALSE),0)</f>
        <v>0</v>
      </c>
      <c r="AN35" s="97">
        <f>IFERROR(VLOOKUP(AN$7,'REF Project Costs'!$A$4:$I$16,2,FALSE),0)</f>
        <v>0</v>
      </c>
      <c r="AO35" s="97">
        <f>IFERROR(VLOOKUP(AO$7,'REF Project Costs'!$A$4:$I$16,2,FALSE),0)</f>
        <v>0</v>
      </c>
      <c r="AP35" s="97">
        <f>IFERROR(VLOOKUP(AP$7,'REF Project Costs'!$A$4:$I$16,2,FALSE),0)</f>
        <v>0</v>
      </c>
      <c r="AQ35" s="97">
        <f>IFERROR(VLOOKUP(AQ$7,'REF Project Costs'!$A$4:$I$16,2,FALSE),0)</f>
        <v>0</v>
      </c>
      <c r="AR35" s="97">
        <f>IFERROR(VLOOKUP(AR$7,'REF Project Costs'!$A$4:$I$16,2,FALSE),0)</f>
        <v>0</v>
      </c>
    </row>
    <row r="36" spans="1:44">
      <c r="B36" s="1" t="s">
        <v>219</v>
      </c>
      <c r="C36" s="87" t="s">
        <v>80</v>
      </c>
      <c r="D36" s="86">
        <f>SUM(F36:AR36)</f>
        <v>3809701.2429013159</v>
      </c>
      <c r="F36" s="19">
        <f t="shared" ref="F36:AR36" si="18">SUM(F32:F35)</f>
        <v>0</v>
      </c>
      <c r="G36" s="19">
        <f t="shared" si="18"/>
        <v>0</v>
      </c>
      <c r="H36" s="19">
        <f t="shared" si="18"/>
        <v>0</v>
      </c>
      <c r="I36" s="19">
        <f t="shared" si="18"/>
        <v>0</v>
      </c>
      <c r="J36" s="19">
        <f t="shared" si="18"/>
        <v>0</v>
      </c>
      <c r="K36" s="19">
        <f t="shared" si="18"/>
        <v>0</v>
      </c>
      <c r="L36" s="19">
        <f t="shared" si="18"/>
        <v>0</v>
      </c>
      <c r="M36" s="19">
        <f t="shared" si="18"/>
        <v>0</v>
      </c>
      <c r="N36" s="19">
        <f t="shared" si="18"/>
        <v>0</v>
      </c>
      <c r="O36" s="19">
        <f t="shared" si="18"/>
        <v>0</v>
      </c>
      <c r="P36" s="19">
        <f t="shared" si="18"/>
        <v>0</v>
      </c>
      <c r="Q36" s="19">
        <f t="shared" si="18"/>
        <v>0</v>
      </c>
      <c r="R36" s="19">
        <f t="shared" si="18"/>
        <v>1453891.6675087409</v>
      </c>
      <c r="S36" s="19">
        <f t="shared" si="18"/>
        <v>0</v>
      </c>
      <c r="T36" s="19">
        <f t="shared" si="18"/>
        <v>0</v>
      </c>
      <c r="U36" s="19">
        <f t="shared" si="18"/>
        <v>0</v>
      </c>
      <c r="V36" s="19">
        <f t="shared" si="18"/>
        <v>0</v>
      </c>
      <c r="W36" s="19">
        <f t="shared" si="18"/>
        <v>901917.90788383433</v>
      </c>
      <c r="X36" s="19">
        <f t="shared" si="18"/>
        <v>0</v>
      </c>
      <c r="Y36" s="19">
        <f t="shared" si="18"/>
        <v>0</v>
      </c>
      <c r="Z36" s="19">
        <f t="shared" si="18"/>
        <v>0</v>
      </c>
      <c r="AA36" s="19">
        <f t="shared" si="18"/>
        <v>0</v>
      </c>
      <c r="AB36" s="19">
        <f t="shared" si="18"/>
        <v>0</v>
      </c>
      <c r="AC36" s="19">
        <f t="shared" si="18"/>
        <v>0</v>
      </c>
      <c r="AD36" s="19">
        <f t="shared" si="18"/>
        <v>0</v>
      </c>
      <c r="AE36" s="19">
        <f t="shared" si="18"/>
        <v>0</v>
      </c>
      <c r="AF36" s="19">
        <f t="shared" si="18"/>
        <v>0</v>
      </c>
      <c r="AG36" s="19">
        <f t="shared" si="18"/>
        <v>1453891.6675087409</v>
      </c>
      <c r="AH36" s="19">
        <f t="shared" si="18"/>
        <v>0</v>
      </c>
      <c r="AI36" s="19">
        <f t="shared" si="18"/>
        <v>0</v>
      </c>
      <c r="AJ36" s="19">
        <f t="shared" si="18"/>
        <v>0</v>
      </c>
      <c r="AK36" s="19">
        <f t="shared" si="18"/>
        <v>0</v>
      </c>
      <c r="AL36" s="19">
        <f t="shared" si="18"/>
        <v>0</v>
      </c>
      <c r="AM36" s="19">
        <f t="shared" si="18"/>
        <v>0</v>
      </c>
      <c r="AN36" s="19">
        <f t="shared" si="18"/>
        <v>0</v>
      </c>
      <c r="AO36" s="19">
        <f t="shared" si="18"/>
        <v>0</v>
      </c>
      <c r="AP36" s="19">
        <f t="shared" si="18"/>
        <v>0</v>
      </c>
      <c r="AQ36" s="19">
        <f t="shared" si="18"/>
        <v>0</v>
      </c>
      <c r="AR36" s="19">
        <f t="shared" si="18"/>
        <v>0</v>
      </c>
    </row>
    <row r="37" spans="1:44">
      <c r="C37" s="87"/>
      <c r="D37" s="86"/>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row>
    <row r="38" spans="1:44" ht="15">
      <c r="B38" s="2" t="s">
        <v>220</v>
      </c>
      <c r="C38" s="12"/>
    </row>
    <row r="39" spans="1:44">
      <c r="B39" s="1" t="s">
        <v>221</v>
      </c>
      <c r="C39" s="87" t="s">
        <v>80</v>
      </c>
      <c r="D39" s="86">
        <f>SUM(F39:AR39)</f>
        <v>3809701.2429013159</v>
      </c>
      <c r="E39" s="19"/>
      <c r="F39" s="19">
        <f>F$36*F15</f>
        <v>0</v>
      </c>
      <c r="G39" s="19">
        <f t="shared" ref="G39:AR39" si="19">G$36*G15</f>
        <v>0</v>
      </c>
      <c r="H39" s="19">
        <f t="shared" si="19"/>
        <v>0</v>
      </c>
      <c r="I39" s="19">
        <f t="shared" si="19"/>
        <v>0</v>
      </c>
      <c r="J39" s="19">
        <f t="shared" si="19"/>
        <v>0</v>
      </c>
      <c r="K39" s="19">
        <f t="shared" si="19"/>
        <v>0</v>
      </c>
      <c r="L39" s="19">
        <f t="shared" si="19"/>
        <v>0</v>
      </c>
      <c r="M39" s="19">
        <f t="shared" si="19"/>
        <v>0</v>
      </c>
      <c r="N39" s="19">
        <f t="shared" si="19"/>
        <v>0</v>
      </c>
      <c r="O39" s="19">
        <f t="shared" si="19"/>
        <v>0</v>
      </c>
      <c r="P39" s="19">
        <f t="shared" si="19"/>
        <v>0</v>
      </c>
      <c r="Q39" s="19">
        <f t="shared" si="19"/>
        <v>0</v>
      </c>
      <c r="R39" s="19">
        <f t="shared" si="19"/>
        <v>1453891.6675087409</v>
      </c>
      <c r="S39" s="19">
        <f t="shared" si="19"/>
        <v>0</v>
      </c>
      <c r="T39" s="19">
        <f t="shared" si="19"/>
        <v>0</v>
      </c>
      <c r="U39" s="19">
        <f t="shared" si="19"/>
        <v>0</v>
      </c>
      <c r="V39" s="19">
        <f t="shared" si="19"/>
        <v>0</v>
      </c>
      <c r="W39" s="19">
        <f t="shared" si="19"/>
        <v>901917.90788383433</v>
      </c>
      <c r="X39" s="19">
        <f t="shared" si="19"/>
        <v>0</v>
      </c>
      <c r="Y39" s="19">
        <f t="shared" si="19"/>
        <v>0</v>
      </c>
      <c r="Z39" s="19">
        <f t="shared" si="19"/>
        <v>0</v>
      </c>
      <c r="AA39" s="19">
        <f t="shared" si="19"/>
        <v>0</v>
      </c>
      <c r="AB39" s="19">
        <f t="shared" si="19"/>
        <v>0</v>
      </c>
      <c r="AC39" s="19">
        <f t="shared" si="19"/>
        <v>0</v>
      </c>
      <c r="AD39" s="19">
        <f t="shared" si="19"/>
        <v>0</v>
      </c>
      <c r="AE39" s="19">
        <f t="shared" si="19"/>
        <v>0</v>
      </c>
      <c r="AF39" s="19">
        <f t="shared" si="19"/>
        <v>0</v>
      </c>
      <c r="AG39" s="19">
        <f t="shared" si="19"/>
        <v>1453891.6675087409</v>
      </c>
      <c r="AH39" s="19">
        <f t="shared" si="19"/>
        <v>0</v>
      </c>
      <c r="AI39" s="19">
        <f t="shared" si="19"/>
        <v>0</v>
      </c>
      <c r="AJ39" s="19">
        <f t="shared" si="19"/>
        <v>0</v>
      </c>
      <c r="AK39" s="19">
        <f t="shared" si="19"/>
        <v>0</v>
      </c>
      <c r="AL39" s="19">
        <f t="shared" si="19"/>
        <v>0</v>
      </c>
      <c r="AM39" s="19">
        <f t="shared" si="19"/>
        <v>0</v>
      </c>
      <c r="AN39" s="19">
        <f t="shared" si="19"/>
        <v>0</v>
      </c>
      <c r="AO39" s="19">
        <f t="shared" si="19"/>
        <v>0</v>
      </c>
      <c r="AP39" s="19">
        <f t="shared" si="19"/>
        <v>0</v>
      </c>
      <c r="AQ39" s="19">
        <f t="shared" si="19"/>
        <v>0</v>
      </c>
      <c r="AR39" s="19">
        <f t="shared" si="19"/>
        <v>0</v>
      </c>
    </row>
    <row r="40" spans="1:44">
      <c r="B40" s="1" t="s">
        <v>222</v>
      </c>
      <c r="C40" s="87" t="s">
        <v>80</v>
      </c>
      <c r="D40" s="86">
        <f>SUM(F40:AR40)</f>
        <v>2425779.2495128112</v>
      </c>
      <c r="E40" s="19"/>
      <c r="F40" s="19">
        <f t="shared" ref="F40:AR40" si="20">F$36*F16</f>
        <v>0</v>
      </c>
      <c r="G40" s="19">
        <f t="shared" si="20"/>
        <v>0</v>
      </c>
      <c r="H40" s="19">
        <f t="shared" si="20"/>
        <v>0</v>
      </c>
      <c r="I40" s="19">
        <f t="shared" si="20"/>
        <v>0</v>
      </c>
      <c r="J40" s="19">
        <f t="shared" si="20"/>
        <v>0</v>
      </c>
      <c r="K40" s="19">
        <f t="shared" si="20"/>
        <v>0</v>
      </c>
      <c r="L40" s="19">
        <f t="shared" si="20"/>
        <v>0</v>
      </c>
      <c r="M40" s="19">
        <f t="shared" si="20"/>
        <v>0</v>
      </c>
      <c r="N40" s="19">
        <f t="shared" si="20"/>
        <v>0</v>
      </c>
      <c r="O40" s="19">
        <f t="shared" si="20"/>
        <v>0</v>
      </c>
      <c r="P40" s="19">
        <f t="shared" si="20"/>
        <v>0</v>
      </c>
      <c r="Q40" s="19">
        <f t="shared" si="20"/>
        <v>0</v>
      </c>
      <c r="R40" s="19">
        <f t="shared" si="20"/>
        <v>1114286.9009936762</v>
      </c>
      <c r="S40" s="19">
        <f t="shared" si="20"/>
        <v>0</v>
      </c>
      <c r="T40" s="19">
        <f t="shared" si="20"/>
        <v>0</v>
      </c>
      <c r="U40" s="19">
        <f t="shared" si="20"/>
        <v>0</v>
      </c>
      <c r="V40" s="19">
        <f t="shared" si="20"/>
        <v>0</v>
      </c>
      <c r="W40" s="19">
        <f t="shared" si="20"/>
        <v>596273.98828868009</v>
      </c>
      <c r="X40" s="19">
        <f t="shared" si="20"/>
        <v>0</v>
      </c>
      <c r="Y40" s="19">
        <f t="shared" si="20"/>
        <v>0</v>
      </c>
      <c r="Z40" s="19">
        <f t="shared" si="20"/>
        <v>0</v>
      </c>
      <c r="AA40" s="19">
        <f t="shared" si="20"/>
        <v>0</v>
      </c>
      <c r="AB40" s="19">
        <f t="shared" si="20"/>
        <v>0</v>
      </c>
      <c r="AC40" s="19">
        <f t="shared" si="20"/>
        <v>0</v>
      </c>
      <c r="AD40" s="19">
        <f t="shared" si="20"/>
        <v>0</v>
      </c>
      <c r="AE40" s="19">
        <f t="shared" si="20"/>
        <v>0</v>
      </c>
      <c r="AF40" s="19">
        <f t="shared" si="20"/>
        <v>0</v>
      </c>
      <c r="AG40" s="19">
        <f t="shared" si="20"/>
        <v>715218.36023045471</v>
      </c>
      <c r="AH40" s="19">
        <f t="shared" si="20"/>
        <v>0</v>
      </c>
      <c r="AI40" s="19">
        <f t="shared" si="20"/>
        <v>0</v>
      </c>
      <c r="AJ40" s="19">
        <f t="shared" si="20"/>
        <v>0</v>
      </c>
      <c r="AK40" s="19">
        <f t="shared" si="20"/>
        <v>0</v>
      </c>
      <c r="AL40" s="19">
        <f t="shared" si="20"/>
        <v>0</v>
      </c>
      <c r="AM40" s="19">
        <f t="shared" si="20"/>
        <v>0</v>
      </c>
      <c r="AN40" s="19">
        <f t="shared" si="20"/>
        <v>0</v>
      </c>
      <c r="AO40" s="19">
        <f t="shared" si="20"/>
        <v>0</v>
      </c>
      <c r="AP40" s="19">
        <f t="shared" si="20"/>
        <v>0</v>
      </c>
      <c r="AQ40" s="19">
        <f t="shared" si="20"/>
        <v>0</v>
      </c>
      <c r="AR40" s="19">
        <f t="shared" si="20"/>
        <v>0</v>
      </c>
    </row>
    <row r="41" spans="1:44">
      <c r="B41" s="1" t="s">
        <v>223</v>
      </c>
      <c r="C41" s="87" t="s">
        <v>80</v>
      </c>
      <c r="D41" s="86">
        <f>SUM(F41:AR41)</f>
        <v>1427229.8787006312</v>
      </c>
      <c r="E41" s="19"/>
      <c r="F41" s="19">
        <f t="shared" ref="F41:AR41" si="21">F$36*F17</f>
        <v>0</v>
      </c>
      <c r="G41" s="19">
        <f t="shared" si="21"/>
        <v>0</v>
      </c>
      <c r="H41" s="19">
        <f t="shared" si="21"/>
        <v>0</v>
      </c>
      <c r="I41" s="19">
        <f t="shared" si="21"/>
        <v>0</v>
      </c>
      <c r="J41" s="19">
        <f t="shared" si="21"/>
        <v>0</v>
      </c>
      <c r="K41" s="19">
        <f t="shared" si="21"/>
        <v>0</v>
      </c>
      <c r="L41" s="19">
        <f t="shared" si="21"/>
        <v>0</v>
      </c>
      <c r="M41" s="19">
        <f t="shared" si="21"/>
        <v>0</v>
      </c>
      <c r="N41" s="19">
        <f t="shared" si="21"/>
        <v>0</v>
      </c>
      <c r="O41" s="19">
        <f t="shared" si="21"/>
        <v>0</v>
      </c>
      <c r="P41" s="19">
        <f t="shared" si="21"/>
        <v>0</v>
      </c>
      <c r="Q41" s="19">
        <f t="shared" si="21"/>
        <v>0</v>
      </c>
      <c r="R41" s="19">
        <f t="shared" si="21"/>
        <v>790820.73601993721</v>
      </c>
      <c r="S41" s="19">
        <f t="shared" si="21"/>
        <v>0</v>
      </c>
      <c r="T41" s="19">
        <f t="shared" si="21"/>
        <v>0</v>
      </c>
      <c r="U41" s="19">
        <f t="shared" si="21"/>
        <v>0</v>
      </c>
      <c r="V41" s="19">
        <f t="shared" si="21"/>
        <v>0</v>
      </c>
      <c r="W41" s="19">
        <f t="shared" si="21"/>
        <v>349779.3146596264</v>
      </c>
      <c r="X41" s="19">
        <f t="shared" si="21"/>
        <v>0</v>
      </c>
      <c r="Y41" s="19">
        <f t="shared" si="21"/>
        <v>0</v>
      </c>
      <c r="Z41" s="19">
        <f t="shared" si="21"/>
        <v>0</v>
      </c>
      <c r="AA41" s="19">
        <f t="shared" si="21"/>
        <v>0</v>
      </c>
      <c r="AB41" s="19">
        <f t="shared" si="21"/>
        <v>0</v>
      </c>
      <c r="AC41" s="19">
        <f t="shared" si="21"/>
        <v>0</v>
      </c>
      <c r="AD41" s="19">
        <f t="shared" si="21"/>
        <v>0</v>
      </c>
      <c r="AE41" s="19">
        <f t="shared" si="21"/>
        <v>0</v>
      </c>
      <c r="AF41" s="19">
        <f t="shared" si="21"/>
        <v>0</v>
      </c>
      <c r="AG41" s="19">
        <f t="shared" si="21"/>
        <v>286629.82802106754</v>
      </c>
      <c r="AH41" s="19">
        <f t="shared" si="21"/>
        <v>0</v>
      </c>
      <c r="AI41" s="19">
        <f t="shared" si="21"/>
        <v>0</v>
      </c>
      <c r="AJ41" s="19">
        <f t="shared" si="21"/>
        <v>0</v>
      </c>
      <c r="AK41" s="19">
        <f t="shared" si="21"/>
        <v>0</v>
      </c>
      <c r="AL41" s="19">
        <f t="shared" si="21"/>
        <v>0</v>
      </c>
      <c r="AM41" s="19">
        <f t="shared" si="21"/>
        <v>0</v>
      </c>
      <c r="AN41" s="19">
        <f t="shared" si="21"/>
        <v>0</v>
      </c>
      <c r="AO41" s="19">
        <f t="shared" si="21"/>
        <v>0</v>
      </c>
      <c r="AP41" s="19">
        <f t="shared" si="21"/>
        <v>0</v>
      </c>
      <c r="AQ41" s="19">
        <f t="shared" si="21"/>
        <v>0</v>
      </c>
      <c r="AR41" s="19">
        <f t="shared" si="21"/>
        <v>0</v>
      </c>
    </row>
    <row r="42" spans="1:44">
      <c r="C42" s="12"/>
    </row>
    <row r="43" spans="1:44" s="329" customFormat="1">
      <c r="A43" s="330" t="s">
        <v>225</v>
      </c>
    </row>
    <row r="44" spans="1:44" ht="15">
      <c r="A44" s="2" t="s">
        <v>214</v>
      </c>
    </row>
    <row r="45" spans="1:44">
      <c r="B45" s="1" t="s">
        <v>22</v>
      </c>
      <c r="C45" s="87" t="s">
        <v>80</v>
      </c>
      <c r="D45" s="86">
        <f t="shared" ref="D45:D49" si="22">SUM(F45:AR45)</f>
        <v>20078988.010569714</v>
      </c>
      <c r="F45" s="19">
        <f>IFERROR(VLOOKUP(F$7,'REF Project Costs'!$A$4:$I$16,4,FALSE),0)</f>
        <v>0</v>
      </c>
      <c r="G45" s="19">
        <f>IFERROR(VLOOKUP(G$7,'REF Project Costs'!$A$4:$I$16,4,FALSE),0)</f>
        <v>0</v>
      </c>
      <c r="H45" s="19">
        <f>IFERROR(VLOOKUP(H$7,'REF Project Costs'!$A$4:$I$16,4,FALSE),0)</f>
        <v>0</v>
      </c>
      <c r="I45" s="19">
        <f>IFERROR(VLOOKUP(I$7,'REF Project Costs'!$A$4:$I$16,4,FALSE),0)</f>
        <v>0</v>
      </c>
      <c r="J45" s="19">
        <f>IFERROR(VLOOKUP(J$7,'REF Project Costs'!$A$4:$I$16,4,FALSE),0)</f>
        <v>0</v>
      </c>
      <c r="K45" s="19">
        <f>IFERROR(VLOOKUP(K$7,'REF Project Costs'!$A$4:$I$16,4,FALSE),0)</f>
        <v>0</v>
      </c>
      <c r="L45" s="19">
        <f>IFERROR(VLOOKUP(L$7,'REF Project Costs'!$A$4:$I$16,4,FALSE),0)</f>
        <v>0</v>
      </c>
      <c r="M45" s="19">
        <f>IFERROR(VLOOKUP(M$7,'REF Project Costs'!$A$4:$I$16,4,FALSE),0)</f>
        <v>6692995.7028839365</v>
      </c>
      <c r="N45" s="19">
        <f>IFERROR(VLOOKUP(N$7,'REF Project Costs'!$A$4:$I$16,4,FALSE),0)</f>
        <v>13385992.307685779</v>
      </c>
      <c r="O45" s="19">
        <f>IFERROR(VLOOKUP(O$7,'REF Project Costs'!$A$4:$I$16,4,FALSE),0)</f>
        <v>0</v>
      </c>
      <c r="P45" s="19">
        <f>IFERROR(VLOOKUP(P$7,'REF Project Costs'!$A$4:$I$16,4,FALSE),0)</f>
        <v>0</v>
      </c>
      <c r="Q45" s="19">
        <f>IFERROR(VLOOKUP(Q$7,'REF Project Costs'!$A$4:$I$16,4,FALSE),0)</f>
        <v>0</v>
      </c>
      <c r="R45" s="19">
        <f>IFERROR(VLOOKUP(R$7,'REF Project Costs'!$A$4:$I$16,4,FALSE),0)</f>
        <v>0</v>
      </c>
      <c r="S45" s="19">
        <f>IFERROR(VLOOKUP(S$7,'REF Project Costs'!$A$4:$I$16,4,FALSE),0)</f>
        <v>0</v>
      </c>
      <c r="T45" s="19">
        <f>IFERROR(VLOOKUP(T$7,'REF Project Costs'!$A$4:$I$16,4,FALSE),0)</f>
        <v>0</v>
      </c>
      <c r="U45" s="19">
        <f>IFERROR(VLOOKUP(U$7,'REF Project Costs'!$A$4:$I$16,4,FALSE),0)</f>
        <v>0</v>
      </c>
      <c r="V45" s="19">
        <f>IFERROR(VLOOKUP(V$7,'REF Project Costs'!$A$4:$I$16,4,FALSE),0)</f>
        <v>0</v>
      </c>
      <c r="W45" s="19">
        <f>IFERROR(VLOOKUP(W$7,'REF Project Costs'!$A$4:$I$16,4,FALSE),0)</f>
        <v>0</v>
      </c>
      <c r="X45" s="19">
        <f>IFERROR(VLOOKUP(X$7,'REF Project Costs'!$A$4:$I$16,4,FALSE),0)</f>
        <v>0</v>
      </c>
      <c r="Y45" s="19">
        <f>IFERROR(VLOOKUP(Y$7,'REF Project Costs'!$A$4:$I$16,4,FALSE),0)</f>
        <v>0</v>
      </c>
      <c r="Z45" s="19">
        <f>IFERROR(VLOOKUP(Z$7,'REF Project Costs'!$A$4:$I$16,4,FALSE),0)</f>
        <v>0</v>
      </c>
      <c r="AA45" s="19">
        <f>IFERROR(VLOOKUP(AA$7,'REF Project Costs'!$A$4:$I$16,4,FALSE),0)</f>
        <v>0</v>
      </c>
      <c r="AB45" s="19">
        <f>IFERROR(VLOOKUP(AB$7,'REF Project Costs'!$A$4:$I$16,4,FALSE),0)</f>
        <v>0</v>
      </c>
      <c r="AC45" s="19">
        <f>IFERROR(VLOOKUP(AC$7,'REF Project Costs'!$A$4:$I$16,4,FALSE),0)</f>
        <v>0</v>
      </c>
      <c r="AD45" s="19">
        <f>IFERROR(VLOOKUP(AD$7,'REF Project Costs'!$A$4:$I$16,4,FALSE),0)</f>
        <v>0</v>
      </c>
      <c r="AE45" s="19">
        <f>IFERROR(VLOOKUP(AE$7,'REF Project Costs'!$A$4:$I$16,4,FALSE),0)</f>
        <v>0</v>
      </c>
      <c r="AF45" s="19">
        <f>IFERROR(VLOOKUP(AF$7,'REF Project Costs'!$A$4:$I$16,4,FALSE),0)</f>
        <v>0</v>
      </c>
      <c r="AG45" s="19">
        <f>IFERROR(VLOOKUP(AG$7,'REF Project Costs'!$A$4:$I$16,4,FALSE),0)</f>
        <v>0</v>
      </c>
      <c r="AH45" s="19">
        <f>IFERROR(VLOOKUP(AH$7,'REF Project Costs'!$A$4:$I$16,4,FALSE),0)</f>
        <v>0</v>
      </c>
      <c r="AI45" s="19">
        <f>IFERROR(VLOOKUP(AI$7,'REF Project Costs'!$A$4:$I$16,4,FALSE),0)</f>
        <v>0</v>
      </c>
      <c r="AJ45" s="19">
        <f>IFERROR(VLOOKUP(AJ$7,'REF Project Costs'!$A$4:$I$16,4,FALSE),0)</f>
        <v>0</v>
      </c>
      <c r="AK45" s="19">
        <f>IFERROR(VLOOKUP(AK$7,'REF Project Costs'!$A$4:$I$16,4,FALSE),0)</f>
        <v>0</v>
      </c>
      <c r="AL45" s="19">
        <f>IFERROR(VLOOKUP(AL$7,'REF Project Costs'!$A$4:$I$16,4,FALSE),0)</f>
        <v>0</v>
      </c>
      <c r="AM45" s="19">
        <f>IFERROR(VLOOKUP(AM$7,'REF Project Costs'!$A$4:$I$16,4,FALSE),0)</f>
        <v>0</v>
      </c>
      <c r="AN45" s="19">
        <f>IFERROR(VLOOKUP(AN$7,'REF Project Costs'!$A$4:$I$16,4,FALSE),0)</f>
        <v>0</v>
      </c>
      <c r="AO45" s="19">
        <f>IFERROR(VLOOKUP(AO$7,'REF Project Costs'!$A$4:$I$16,4,FALSE),0)</f>
        <v>0</v>
      </c>
      <c r="AP45" s="19">
        <f>IFERROR(VLOOKUP(AP$7,'REF Project Costs'!$A$4:$I$16,4,FALSE),0)</f>
        <v>0</v>
      </c>
      <c r="AQ45" s="19">
        <f>IFERROR(VLOOKUP(AQ$7,'REF Project Costs'!$A$4:$I$16,4,FALSE),0)</f>
        <v>0</v>
      </c>
      <c r="AR45" s="19">
        <f>IFERROR(VLOOKUP(AR$7,'REF Project Costs'!$A$4:$I$16,4,FALSE),0)</f>
        <v>0</v>
      </c>
    </row>
    <row r="46" spans="1:44">
      <c r="B46" s="1" t="s">
        <v>218</v>
      </c>
      <c r="C46" s="87" t="s">
        <v>80</v>
      </c>
      <c r="D46" s="86">
        <f t="shared" si="22"/>
        <v>309955.68</v>
      </c>
      <c r="F46" s="19">
        <f>IFERROR(VLOOKUP(F$7,'REF Project Costs'!$A$4:$I$16,6,FALSE),0)</f>
        <v>0</v>
      </c>
      <c r="G46" s="19">
        <f>IFERROR(VLOOKUP(G$7,'REF Project Costs'!$A$4:$I$16,6,FALSE),0)</f>
        <v>0</v>
      </c>
      <c r="H46" s="19">
        <f>IFERROR(VLOOKUP(H$7,'REF Project Costs'!$A$4:$I$16,6,FALSE),0)</f>
        <v>0</v>
      </c>
      <c r="I46" s="19">
        <f>IFERROR(VLOOKUP(I$7,'REF Project Costs'!$A$4:$I$16,6,FALSE),0)</f>
        <v>0</v>
      </c>
      <c r="J46" s="19">
        <f>IFERROR(VLOOKUP(J$7,'REF Project Costs'!$A$4:$I$16,6,FALSE),0)</f>
        <v>0</v>
      </c>
      <c r="K46" s="19">
        <f>IFERROR(VLOOKUP(K$7,'REF Project Costs'!$A$4:$I$16,6,FALSE),0)</f>
        <v>0</v>
      </c>
      <c r="L46" s="19">
        <f>IFERROR(VLOOKUP(L$7,'REF Project Costs'!$A$4:$I$16,6,FALSE),0)</f>
        <v>309955.68</v>
      </c>
      <c r="M46" s="19">
        <f>IFERROR(VLOOKUP(M$7,'REF Project Costs'!$A$4:$I$16,6,FALSE),0)</f>
        <v>0</v>
      </c>
      <c r="N46" s="19">
        <f>IFERROR(VLOOKUP(N$7,'REF Project Costs'!$A$4:$I$16,6,FALSE),0)</f>
        <v>0</v>
      </c>
      <c r="O46" s="19">
        <f>IFERROR(VLOOKUP(O$7,'REF Project Costs'!$A$4:$I$16,6,FALSE),0)</f>
        <v>0</v>
      </c>
      <c r="P46" s="19">
        <f>IFERROR(VLOOKUP(P$7,'REF Project Costs'!$A$4:$I$16,6,FALSE),0)</f>
        <v>0</v>
      </c>
      <c r="Q46" s="19">
        <f>IFERROR(VLOOKUP(Q$7,'REF Project Costs'!$A$4:$I$16,6,FALSE),0)</f>
        <v>0</v>
      </c>
      <c r="R46" s="19">
        <f>IFERROR(VLOOKUP(R$7,'REF Project Costs'!$A$4:$I$16,6,FALSE),0)</f>
        <v>0</v>
      </c>
      <c r="S46" s="19">
        <f>IFERROR(VLOOKUP(S$7,'REF Project Costs'!$A$4:$I$16,6,FALSE),0)</f>
        <v>0</v>
      </c>
      <c r="T46" s="19">
        <f>IFERROR(VLOOKUP(T$7,'REF Project Costs'!$A$4:$I$16,6,FALSE),0)</f>
        <v>0</v>
      </c>
      <c r="U46" s="19">
        <f>IFERROR(VLOOKUP(U$7,'REF Project Costs'!$A$4:$I$16,6,FALSE),0)</f>
        <v>0</v>
      </c>
      <c r="V46" s="19">
        <f>IFERROR(VLOOKUP(V$7,'REF Project Costs'!$A$4:$I$16,6,FALSE),0)</f>
        <v>0</v>
      </c>
      <c r="W46" s="19">
        <f>IFERROR(VLOOKUP(W$7,'REF Project Costs'!$A$4:$I$16,6,FALSE),0)</f>
        <v>0</v>
      </c>
      <c r="X46" s="19">
        <f>IFERROR(VLOOKUP(X$7,'REF Project Costs'!$A$4:$I$16,6,FALSE),0)</f>
        <v>0</v>
      </c>
      <c r="Y46" s="19">
        <f>IFERROR(VLOOKUP(Y$7,'REF Project Costs'!$A$4:$I$16,6,FALSE),0)</f>
        <v>0</v>
      </c>
      <c r="Z46" s="19">
        <f>IFERROR(VLOOKUP(Z$7,'REF Project Costs'!$A$4:$I$16,6,FALSE),0)</f>
        <v>0</v>
      </c>
      <c r="AA46" s="19">
        <f>IFERROR(VLOOKUP(AA$7,'REF Project Costs'!$A$4:$I$16,6,FALSE),0)</f>
        <v>0</v>
      </c>
      <c r="AB46" s="19">
        <f>IFERROR(VLOOKUP(AB$7,'REF Project Costs'!$A$4:$I$16,6,FALSE),0)</f>
        <v>0</v>
      </c>
      <c r="AC46" s="19">
        <f>IFERROR(VLOOKUP(AC$7,'REF Project Costs'!$A$4:$I$16,6,FALSE),0)</f>
        <v>0</v>
      </c>
      <c r="AD46" s="19">
        <f>IFERROR(VLOOKUP(AD$7,'REF Project Costs'!$A$4:$I$16,6,FALSE),0)</f>
        <v>0</v>
      </c>
      <c r="AE46" s="19">
        <f>IFERROR(VLOOKUP(AE$7,'REF Project Costs'!$A$4:$I$16,6,FALSE),0)</f>
        <v>0</v>
      </c>
      <c r="AF46" s="19">
        <f>IFERROR(VLOOKUP(AF$7,'REF Project Costs'!$A$4:$I$16,6,FALSE),0)</f>
        <v>0</v>
      </c>
      <c r="AG46" s="19">
        <f>IFERROR(VLOOKUP(AG$7,'REF Project Costs'!$A$4:$I$16,6,FALSE),0)</f>
        <v>0</v>
      </c>
      <c r="AH46" s="19">
        <f>IFERROR(VLOOKUP(AH$7,'REF Project Costs'!$A$4:$I$16,6,FALSE),0)</f>
        <v>0</v>
      </c>
      <c r="AI46" s="19">
        <f>IFERROR(VLOOKUP(AI$7,'REF Project Costs'!$A$4:$I$16,6,FALSE),0)</f>
        <v>0</v>
      </c>
      <c r="AJ46" s="19">
        <f>IFERROR(VLOOKUP(AJ$7,'REF Project Costs'!$A$4:$I$16,6,FALSE),0)</f>
        <v>0</v>
      </c>
      <c r="AK46" s="19">
        <f>IFERROR(VLOOKUP(AK$7,'REF Project Costs'!$A$4:$I$16,6,FALSE),0)</f>
        <v>0</v>
      </c>
      <c r="AL46" s="19">
        <f>IFERROR(VLOOKUP(AL$7,'REF Project Costs'!$A$4:$I$16,6,FALSE),0)</f>
        <v>0</v>
      </c>
      <c r="AM46" s="19">
        <f>IFERROR(VLOOKUP(AM$7,'REF Project Costs'!$A$4:$I$16,6,FALSE),0)</f>
        <v>0</v>
      </c>
      <c r="AN46" s="19">
        <f>IFERROR(VLOOKUP(AN$7,'REF Project Costs'!$A$4:$I$16,6,FALSE),0)</f>
        <v>0</v>
      </c>
      <c r="AO46" s="19">
        <f>IFERROR(VLOOKUP(AO$7,'REF Project Costs'!$A$4:$I$16,6,FALSE),0)</f>
        <v>0</v>
      </c>
      <c r="AP46" s="19">
        <f>IFERROR(VLOOKUP(AP$7,'REF Project Costs'!$A$4:$I$16,6,FALSE),0)</f>
        <v>0</v>
      </c>
      <c r="AQ46" s="19">
        <f>IFERROR(VLOOKUP(AQ$7,'REF Project Costs'!$A$4:$I$16,6,FALSE),0)</f>
        <v>0</v>
      </c>
      <c r="AR46" s="19">
        <f>IFERROR(VLOOKUP(AR$7,'REF Project Costs'!$A$4:$I$16,6,FALSE),0)</f>
        <v>0</v>
      </c>
    </row>
    <row r="47" spans="1:44">
      <c r="B47" s="1" t="s">
        <v>217</v>
      </c>
      <c r="C47" s="87" t="s">
        <v>80</v>
      </c>
      <c r="D47" s="86">
        <f t="shared" si="22"/>
        <v>427292.62803904532</v>
      </c>
      <c r="F47" s="19">
        <f>IFERROR(VLOOKUP(F$7,'REF Project Costs'!$A$4:$I$16,7,FALSE),0)</f>
        <v>0</v>
      </c>
      <c r="G47" s="19">
        <f>IFERROR(VLOOKUP(G$7,'REF Project Costs'!$A$4:$I$16,7,FALSE),0)</f>
        <v>0</v>
      </c>
      <c r="H47" s="19">
        <f>IFERROR(VLOOKUP(H$7,'REF Project Costs'!$A$4:$I$16,7,FALSE),0)</f>
        <v>0</v>
      </c>
      <c r="I47" s="19">
        <f>IFERROR(VLOOKUP(I$7,'REF Project Costs'!$A$4:$I$16,7,FALSE),0)</f>
        <v>0</v>
      </c>
      <c r="J47" s="19">
        <f>IFERROR(VLOOKUP(J$7,'REF Project Costs'!$A$4:$I$16,7,FALSE),0)</f>
        <v>0</v>
      </c>
      <c r="K47" s="19">
        <f>IFERROR(VLOOKUP(K$7,'REF Project Costs'!$A$4:$I$16,7,FALSE),0)</f>
        <v>0</v>
      </c>
      <c r="L47" s="19">
        <f>IFERROR(VLOOKUP(L$7,'REF Project Costs'!$A$4:$I$16,7,FALSE),0)</f>
        <v>427292.62803904532</v>
      </c>
      <c r="M47" s="19">
        <f>IFERROR(VLOOKUP(M$7,'REF Project Costs'!$A$4:$I$16,7,FALSE),0)</f>
        <v>0</v>
      </c>
      <c r="N47" s="19">
        <f>IFERROR(VLOOKUP(N$7,'REF Project Costs'!$A$4:$I$16,7,FALSE),0)</f>
        <v>0</v>
      </c>
      <c r="O47" s="19">
        <f>IFERROR(VLOOKUP(O$7,'REF Project Costs'!$A$4:$I$16,7,FALSE),0)</f>
        <v>0</v>
      </c>
      <c r="P47" s="19">
        <f>IFERROR(VLOOKUP(P$7,'REF Project Costs'!$A$4:$I$16,7,FALSE),0)</f>
        <v>0</v>
      </c>
      <c r="Q47" s="19">
        <f>IFERROR(VLOOKUP(Q$7,'REF Project Costs'!$A$4:$I$16,7,FALSE),0)</f>
        <v>0</v>
      </c>
      <c r="R47" s="19">
        <f>IFERROR(VLOOKUP(R$7,'REF Project Costs'!$A$4:$I$16,7,FALSE),0)</f>
        <v>0</v>
      </c>
      <c r="S47" s="19">
        <f>IFERROR(VLOOKUP(S$7,'REF Project Costs'!$A$4:$I$16,7,FALSE),0)</f>
        <v>0</v>
      </c>
      <c r="T47" s="19">
        <f>IFERROR(VLOOKUP(T$7,'REF Project Costs'!$A$4:$I$16,7,FALSE),0)</f>
        <v>0</v>
      </c>
      <c r="U47" s="19">
        <f>IFERROR(VLOOKUP(U$7,'REF Project Costs'!$A$4:$I$16,7,FALSE),0)</f>
        <v>0</v>
      </c>
      <c r="V47" s="19">
        <f>IFERROR(VLOOKUP(V$7,'REF Project Costs'!$A$4:$I$16,7,FALSE),0)</f>
        <v>0</v>
      </c>
      <c r="W47" s="19">
        <f>IFERROR(VLOOKUP(W$7,'REF Project Costs'!$A$4:$I$16,7,FALSE),0)</f>
        <v>0</v>
      </c>
      <c r="X47" s="19">
        <f>IFERROR(VLOOKUP(X$7,'REF Project Costs'!$A$4:$I$16,7,FALSE),0)</f>
        <v>0</v>
      </c>
      <c r="Y47" s="19">
        <f>IFERROR(VLOOKUP(Y$7,'REF Project Costs'!$A$4:$I$16,7,FALSE),0)</f>
        <v>0</v>
      </c>
      <c r="Z47" s="19">
        <f>IFERROR(VLOOKUP(Z$7,'REF Project Costs'!$A$4:$I$16,7,FALSE),0)</f>
        <v>0</v>
      </c>
      <c r="AA47" s="19">
        <f>IFERROR(VLOOKUP(AA$7,'REF Project Costs'!$A$4:$I$16,7,FALSE),0)</f>
        <v>0</v>
      </c>
      <c r="AB47" s="19">
        <f>IFERROR(VLOOKUP(AB$7,'REF Project Costs'!$A$4:$I$16,7,FALSE),0)</f>
        <v>0</v>
      </c>
      <c r="AC47" s="19">
        <f>IFERROR(VLOOKUP(AC$7,'REF Project Costs'!$A$4:$I$16,7,FALSE),0)</f>
        <v>0</v>
      </c>
      <c r="AD47" s="19">
        <f>IFERROR(VLOOKUP(AD$7,'REF Project Costs'!$A$4:$I$16,7,FALSE),0)</f>
        <v>0</v>
      </c>
      <c r="AE47" s="19">
        <f>IFERROR(VLOOKUP(AE$7,'REF Project Costs'!$A$4:$I$16,7,FALSE),0)</f>
        <v>0</v>
      </c>
      <c r="AF47" s="19">
        <f>IFERROR(VLOOKUP(AF$7,'REF Project Costs'!$A$4:$I$16,7,FALSE),0)</f>
        <v>0</v>
      </c>
      <c r="AG47" s="19">
        <f>IFERROR(VLOOKUP(AG$7,'REF Project Costs'!$A$4:$I$16,7,FALSE),0)</f>
        <v>0</v>
      </c>
      <c r="AH47" s="19">
        <f>IFERROR(VLOOKUP(AH$7,'REF Project Costs'!$A$4:$I$16,7,FALSE),0)</f>
        <v>0</v>
      </c>
      <c r="AI47" s="19">
        <f>IFERROR(VLOOKUP(AI$7,'REF Project Costs'!$A$4:$I$16,7,FALSE),0)</f>
        <v>0</v>
      </c>
      <c r="AJ47" s="19">
        <f>IFERROR(VLOOKUP(AJ$7,'REF Project Costs'!$A$4:$I$16,7,FALSE),0)</f>
        <v>0</v>
      </c>
      <c r="AK47" s="19">
        <f>IFERROR(VLOOKUP(AK$7,'REF Project Costs'!$A$4:$I$16,7,FALSE),0)</f>
        <v>0</v>
      </c>
      <c r="AL47" s="19">
        <f>IFERROR(VLOOKUP(AL$7,'REF Project Costs'!$A$4:$I$16,7,FALSE),0)</f>
        <v>0</v>
      </c>
      <c r="AM47" s="19">
        <f>IFERROR(VLOOKUP(AM$7,'REF Project Costs'!$A$4:$I$16,7,FALSE),0)</f>
        <v>0</v>
      </c>
      <c r="AN47" s="19">
        <f>IFERROR(VLOOKUP(AN$7,'REF Project Costs'!$A$4:$I$16,7,FALSE),0)</f>
        <v>0</v>
      </c>
      <c r="AO47" s="19">
        <f>IFERROR(VLOOKUP(AO$7,'REF Project Costs'!$A$4:$I$16,7,FALSE),0)</f>
        <v>0</v>
      </c>
      <c r="AP47" s="19">
        <f>IFERROR(VLOOKUP(AP$7,'REF Project Costs'!$A$4:$I$16,7,FALSE),0)</f>
        <v>0</v>
      </c>
      <c r="AQ47" s="19">
        <f>IFERROR(VLOOKUP(AQ$7,'REF Project Costs'!$A$4:$I$16,7,FALSE),0)</f>
        <v>0</v>
      </c>
      <c r="AR47" s="19">
        <f>IFERROR(VLOOKUP(AR$7,'REF Project Costs'!$A$4:$I$16,7,FALSE),0)</f>
        <v>0</v>
      </c>
    </row>
    <row r="48" spans="1:44">
      <c r="B48" s="68" t="s">
        <v>216</v>
      </c>
      <c r="C48" s="95" t="s">
        <v>80</v>
      </c>
      <c r="D48" s="96">
        <f t="shared" si="22"/>
        <v>715311.09274266893</v>
      </c>
      <c r="E48" s="68"/>
      <c r="F48" s="97">
        <f>IFERROR(VLOOKUP(F$7,'REF Project Costs'!$A$4:$I$16,8,FALSE),0)</f>
        <v>0</v>
      </c>
      <c r="G48" s="97">
        <f>IFERROR(VLOOKUP(G$7,'REF Project Costs'!$A$4:$I$16,8,FALSE),0)</f>
        <v>0</v>
      </c>
      <c r="H48" s="97">
        <f>IFERROR(VLOOKUP(H$7,'REF Project Costs'!$A$4:$I$16,8,FALSE),0)</f>
        <v>0</v>
      </c>
      <c r="I48" s="97">
        <f>IFERROR(VLOOKUP(I$7,'REF Project Costs'!$A$4:$I$16,8,FALSE),0)</f>
        <v>0</v>
      </c>
      <c r="J48" s="97">
        <f>IFERROR(VLOOKUP(J$7,'REF Project Costs'!$A$4:$I$16,8,FALSE),0)</f>
        <v>0</v>
      </c>
      <c r="K48" s="97">
        <f>IFERROR(VLOOKUP(K$7,'REF Project Costs'!$A$4:$I$16,8,FALSE),0)</f>
        <v>0</v>
      </c>
      <c r="L48" s="97">
        <f>IFERROR(VLOOKUP(L$7,'REF Project Costs'!$A$4:$I$16,8,FALSE),0)</f>
        <v>715311.09274266893</v>
      </c>
      <c r="M48" s="97">
        <f>IFERROR(VLOOKUP(M$7,'REF Project Costs'!$A$4:$I$16,8,FALSE),0)</f>
        <v>0</v>
      </c>
      <c r="N48" s="97">
        <f>IFERROR(VLOOKUP(N$7,'REF Project Costs'!$A$4:$I$16,8,FALSE),0)</f>
        <v>0</v>
      </c>
      <c r="O48" s="97">
        <f>IFERROR(VLOOKUP(O$7,'REF Project Costs'!$A$4:$I$16,8,FALSE),0)</f>
        <v>0</v>
      </c>
      <c r="P48" s="97">
        <f>IFERROR(VLOOKUP(P$7,'REF Project Costs'!$A$4:$I$16,8,FALSE),0)</f>
        <v>0</v>
      </c>
      <c r="Q48" s="97">
        <f>IFERROR(VLOOKUP(Q$7,'REF Project Costs'!$A$4:$I$16,8,FALSE),0)</f>
        <v>0</v>
      </c>
      <c r="R48" s="97">
        <f>IFERROR(VLOOKUP(R$7,'REF Project Costs'!$A$4:$I$16,8,FALSE),0)</f>
        <v>0</v>
      </c>
      <c r="S48" s="97">
        <f>IFERROR(VLOOKUP(S$7,'REF Project Costs'!$A$4:$I$16,8,FALSE),0)</f>
        <v>0</v>
      </c>
      <c r="T48" s="97">
        <f>IFERROR(VLOOKUP(T$7,'REF Project Costs'!$A$4:$I$16,8,FALSE),0)</f>
        <v>0</v>
      </c>
      <c r="U48" s="97">
        <f>IFERROR(VLOOKUP(U$7,'REF Project Costs'!$A$4:$I$16,8,FALSE),0)</f>
        <v>0</v>
      </c>
      <c r="V48" s="97">
        <f>IFERROR(VLOOKUP(V$7,'REF Project Costs'!$A$4:$I$16,8,FALSE),0)</f>
        <v>0</v>
      </c>
      <c r="W48" s="97">
        <f>IFERROR(VLOOKUP(W$7,'REF Project Costs'!$A$4:$I$16,8,FALSE),0)</f>
        <v>0</v>
      </c>
      <c r="X48" s="97">
        <f>IFERROR(VLOOKUP(X$7,'REF Project Costs'!$A$4:$I$16,8,FALSE),0)</f>
        <v>0</v>
      </c>
      <c r="Y48" s="97">
        <f>IFERROR(VLOOKUP(Y$7,'REF Project Costs'!$A$4:$I$16,8,FALSE),0)</f>
        <v>0</v>
      </c>
      <c r="Z48" s="97">
        <f>IFERROR(VLOOKUP(Z$7,'REF Project Costs'!$A$4:$I$16,8,FALSE),0)</f>
        <v>0</v>
      </c>
      <c r="AA48" s="97">
        <f>IFERROR(VLOOKUP(AA$7,'REF Project Costs'!$A$4:$I$16,8,FALSE),0)</f>
        <v>0</v>
      </c>
      <c r="AB48" s="97">
        <f>IFERROR(VLOOKUP(AB$7,'REF Project Costs'!$A$4:$I$16,8,FALSE),0)</f>
        <v>0</v>
      </c>
      <c r="AC48" s="97">
        <f>IFERROR(VLOOKUP(AC$7,'REF Project Costs'!$A$4:$I$16,8,FALSE),0)</f>
        <v>0</v>
      </c>
      <c r="AD48" s="97">
        <f>IFERROR(VLOOKUP(AD$7,'REF Project Costs'!$A$4:$I$16,8,FALSE),0)</f>
        <v>0</v>
      </c>
      <c r="AE48" s="97">
        <f>IFERROR(VLOOKUP(AE$7,'REF Project Costs'!$A$4:$I$16,8,FALSE),0)</f>
        <v>0</v>
      </c>
      <c r="AF48" s="97">
        <f>IFERROR(VLOOKUP(AF$7,'REF Project Costs'!$A$4:$I$16,8,FALSE),0)</f>
        <v>0</v>
      </c>
      <c r="AG48" s="97">
        <f>IFERROR(VLOOKUP(AG$7,'REF Project Costs'!$A$4:$I$16,8,FALSE),0)</f>
        <v>0</v>
      </c>
      <c r="AH48" s="97">
        <f>IFERROR(VLOOKUP(AH$7,'REF Project Costs'!$A$4:$I$16,8,FALSE),0)</f>
        <v>0</v>
      </c>
      <c r="AI48" s="97">
        <f>IFERROR(VLOOKUP(AI$7,'REF Project Costs'!$A$4:$I$16,8,FALSE),0)</f>
        <v>0</v>
      </c>
      <c r="AJ48" s="97">
        <f>IFERROR(VLOOKUP(AJ$7,'REF Project Costs'!$A$4:$I$16,8,FALSE),0)</f>
        <v>0</v>
      </c>
      <c r="AK48" s="97">
        <f>IFERROR(VLOOKUP(AK$7,'REF Project Costs'!$A$4:$I$16,8,FALSE),0)</f>
        <v>0</v>
      </c>
      <c r="AL48" s="97">
        <f>IFERROR(VLOOKUP(AL$7,'REF Project Costs'!$A$4:$I$16,8,FALSE),0)</f>
        <v>0</v>
      </c>
      <c r="AM48" s="97">
        <f>IFERROR(VLOOKUP(AM$7,'REF Project Costs'!$A$4:$I$16,8,FALSE),0)</f>
        <v>0</v>
      </c>
      <c r="AN48" s="97">
        <f>IFERROR(VLOOKUP(AN$7,'REF Project Costs'!$A$4:$I$16,8,FALSE),0)</f>
        <v>0</v>
      </c>
      <c r="AO48" s="97">
        <f>IFERROR(VLOOKUP(AO$7,'REF Project Costs'!$A$4:$I$16,8,FALSE),0)</f>
        <v>0</v>
      </c>
      <c r="AP48" s="97">
        <f>IFERROR(VLOOKUP(AP$7,'REF Project Costs'!$A$4:$I$16,8,FALSE),0)</f>
        <v>0</v>
      </c>
      <c r="AQ48" s="97">
        <f>IFERROR(VLOOKUP(AQ$7,'REF Project Costs'!$A$4:$I$16,8,FALSE),0)</f>
        <v>0</v>
      </c>
      <c r="AR48" s="97">
        <f>IFERROR(VLOOKUP(AR$7,'REF Project Costs'!$A$4:$I$16,8,FALSE),0)</f>
        <v>0</v>
      </c>
    </row>
    <row r="49" spans="1:44">
      <c r="B49" s="1" t="s">
        <v>219</v>
      </c>
      <c r="C49" s="87" t="s">
        <v>80</v>
      </c>
      <c r="D49" s="86">
        <f t="shared" si="22"/>
        <v>21531547.411351431</v>
      </c>
      <c r="F49" s="19">
        <f t="shared" ref="F49:AR49" si="23">SUM(F45:F48)</f>
        <v>0</v>
      </c>
      <c r="G49" s="19">
        <f t="shared" si="23"/>
        <v>0</v>
      </c>
      <c r="H49" s="19">
        <f t="shared" si="23"/>
        <v>0</v>
      </c>
      <c r="I49" s="19">
        <f t="shared" si="23"/>
        <v>0</v>
      </c>
      <c r="J49" s="19">
        <f t="shared" si="23"/>
        <v>0</v>
      </c>
      <c r="K49" s="19">
        <f t="shared" si="23"/>
        <v>0</v>
      </c>
      <c r="L49" s="19">
        <f t="shared" si="23"/>
        <v>1452559.4007817144</v>
      </c>
      <c r="M49" s="19">
        <f t="shared" si="23"/>
        <v>6692995.7028839365</v>
      </c>
      <c r="N49" s="19">
        <f t="shared" si="23"/>
        <v>13385992.307685779</v>
      </c>
      <c r="O49" s="19">
        <f t="shared" si="23"/>
        <v>0</v>
      </c>
      <c r="P49" s="19">
        <f t="shared" si="23"/>
        <v>0</v>
      </c>
      <c r="Q49" s="19">
        <f t="shared" si="23"/>
        <v>0</v>
      </c>
      <c r="R49" s="19">
        <f t="shared" si="23"/>
        <v>0</v>
      </c>
      <c r="S49" s="19">
        <f t="shared" si="23"/>
        <v>0</v>
      </c>
      <c r="T49" s="19">
        <f t="shared" si="23"/>
        <v>0</v>
      </c>
      <c r="U49" s="19">
        <f t="shared" si="23"/>
        <v>0</v>
      </c>
      <c r="V49" s="19">
        <f t="shared" si="23"/>
        <v>0</v>
      </c>
      <c r="W49" s="19">
        <f t="shared" si="23"/>
        <v>0</v>
      </c>
      <c r="X49" s="19">
        <f t="shared" si="23"/>
        <v>0</v>
      </c>
      <c r="Y49" s="19">
        <f t="shared" si="23"/>
        <v>0</v>
      </c>
      <c r="Z49" s="19">
        <f t="shared" si="23"/>
        <v>0</v>
      </c>
      <c r="AA49" s="19">
        <f t="shared" si="23"/>
        <v>0</v>
      </c>
      <c r="AB49" s="19">
        <f t="shared" si="23"/>
        <v>0</v>
      </c>
      <c r="AC49" s="19">
        <f t="shared" si="23"/>
        <v>0</v>
      </c>
      <c r="AD49" s="19">
        <f t="shared" si="23"/>
        <v>0</v>
      </c>
      <c r="AE49" s="19">
        <f t="shared" si="23"/>
        <v>0</v>
      </c>
      <c r="AF49" s="19">
        <f t="shared" si="23"/>
        <v>0</v>
      </c>
      <c r="AG49" s="19">
        <f t="shared" si="23"/>
        <v>0</v>
      </c>
      <c r="AH49" s="19">
        <f t="shared" si="23"/>
        <v>0</v>
      </c>
      <c r="AI49" s="19">
        <f t="shared" si="23"/>
        <v>0</v>
      </c>
      <c r="AJ49" s="19">
        <f t="shared" si="23"/>
        <v>0</v>
      </c>
      <c r="AK49" s="19">
        <f t="shared" si="23"/>
        <v>0</v>
      </c>
      <c r="AL49" s="19">
        <f t="shared" si="23"/>
        <v>0</v>
      </c>
      <c r="AM49" s="19">
        <f t="shared" si="23"/>
        <v>0</v>
      </c>
      <c r="AN49" s="19">
        <f t="shared" si="23"/>
        <v>0</v>
      </c>
      <c r="AO49" s="19">
        <f t="shared" si="23"/>
        <v>0</v>
      </c>
      <c r="AP49" s="19">
        <f t="shared" si="23"/>
        <v>0</v>
      </c>
      <c r="AQ49" s="19">
        <f t="shared" si="23"/>
        <v>0</v>
      </c>
      <c r="AR49" s="19">
        <f t="shared" si="23"/>
        <v>0</v>
      </c>
    </row>
    <row r="50" spans="1:44">
      <c r="C50" s="87"/>
      <c r="D50" s="86"/>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row>
    <row r="51" spans="1:44" ht="15">
      <c r="B51" s="2" t="s">
        <v>220</v>
      </c>
      <c r="C51" s="12"/>
    </row>
    <row r="52" spans="1:44">
      <c r="B52" s="1" t="s">
        <v>221</v>
      </c>
      <c r="C52" s="87" t="s">
        <v>80</v>
      </c>
      <c r="D52" s="86">
        <f>SUM(F52:AR52)</f>
        <v>21531547.411351431</v>
      </c>
      <c r="E52" s="19"/>
      <c r="F52" s="19">
        <f t="shared" ref="F52:AR52" si="24">F15*F$49</f>
        <v>0</v>
      </c>
      <c r="G52" s="19">
        <f t="shared" si="24"/>
        <v>0</v>
      </c>
      <c r="H52" s="19">
        <f t="shared" si="24"/>
        <v>0</v>
      </c>
      <c r="I52" s="19">
        <f t="shared" si="24"/>
        <v>0</v>
      </c>
      <c r="J52" s="19">
        <f t="shared" si="24"/>
        <v>0</v>
      </c>
      <c r="K52" s="19">
        <f t="shared" si="24"/>
        <v>0</v>
      </c>
      <c r="L52" s="19">
        <f t="shared" si="24"/>
        <v>1452559.4007817144</v>
      </c>
      <c r="M52" s="19">
        <f t="shared" si="24"/>
        <v>6692995.7028839365</v>
      </c>
      <c r="N52" s="19">
        <f t="shared" si="24"/>
        <v>13385992.307685779</v>
      </c>
      <c r="O52" s="19">
        <f t="shared" si="24"/>
        <v>0</v>
      </c>
      <c r="P52" s="19">
        <f t="shared" si="24"/>
        <v>0</v>
      </c>
      <c r="Q52" s="19">
        <f t="shared" si="24"/>
        <v>0</v>
      </c>
      <c r="R52" s="19">
        <f t="shared" si="24"/>
        <v>0</v>
      </c>
      <c r="S52" s="19">
        <f t="shared" si="24"/>
        <v>0</v>
      </c>
      <c r="T52" s="19">
        <f t="shared" si="24"/>
        <v>0</v>
      </c>
      <c r="U52" s="19">
        <f t="shared" si="24"/>
        <v>0</v>
      </c>
      <c r="V52" s="19">
        <f t="shared" si="24"/>
        <v>0</v>
      </c>
      <c r="W52" s="19">
        <f t="shared" si="24"/>
        <v>0</v>
      </c>
      <c r="X52" s="19">
        <f t="shared" si="24"/>
        <v>0</v>
      </c>
      <c r="Y52" s="19">
        <f t="shared" si="24"/>
        <v>0</v>
      </c>
      <c r="Z52" s="19">
        <f t="shared" si="24"/>
        <v>0</v>
      </c>
      <c r="AA52" s="19">
        <f t="shared" si="24"/>
        <v>0</v>
      </c>
      <c r="AB52" s="19">
        <f t="shared" si="24"/>
        <v>0</v>
      </c>
      <c r="AC52" s="19">
        <f t="shared" si="24"/>
        <v>0</v>
      </c>
      <c r="AD52" s="19">
        <f t="shared" si="24"/>
        <v>0</v>
      </c>
      <c r="AE52" s="19">
        <f t="shared" si="24"/>
        <v>0</v>
      </c>
      <c r="AF52" s="19">
        <f t="shared" si="24"/>
        <v>0</v>
      </c>
      <c r="AG52" s="19">
        <f t="shared" si="24"/>
        <v>0</v>
      </c>
      <c r="AH52" s="19">
        <f t="shared" si="24"/>
        <v>0</v>
      </c>
      <c r="AI52" s="19">
        <f t="shared" si="24"/>
        <v>0</v>
      </c>
      <c r="AJ52" s="19">
        <f t="shared" si="24"/>
        <v>0</v>
      </c>
      <c r="AK52" s="19">
        <f t="shared" si="24"/>
        <v>0</v>
      </c>
      <c r="AL52" s="19">
        <f t="shared" si="24"/>
        <v>0</v>
      </c>
      <c r="AM52" s="19">
        <f t="shared" si="24"/>
        <v>0</v>
      </c>
      <c r="AN52" s="19">
        <f t="shared" si="24"/>
        <v>0</v>
      </c>
      <c r="AO52" s="19">
        <f t="shared" si="24"/>
        <v>0</v>
      </c>
      <c r="AP52" s="19">
        <f t="shared" si="24"/>
        <v>0</v>
      </c>
      <c r="AQ52" s="19">
        <f t="shared" si="24"/>
        <v>0</v>
      </c>
      <c r="AR52" s="19">
        <f t="shared" si="24"/>
        <v>0</v>
      </c>
    </row>
    <row r="53" spans="1:44">
      <c r="B53" s="1" t="s">
        <v>222</v>
      </c>
      <c r="C53" s="87" t="s">
        <v>80</v>
      </c>
      <c r="D53" s="86">
        <f>SUM(F53:AR53)</f>
        <v>18822812.166416749</v>
      </c>
      <c r="E53" s="19"/>
      <c r="F53" s="19">
        <f t="shared" ref="F53:AR53" si="25">F16*F$49</f>
        <v>0</v>
      </c>
      <c r="G53" s="19">
        <f t="shared" si="25"/>
        <v>0</v>
      </c>
      <c r="H53" s="19">
        <f t="shared" si="25"/>
        <v>0</v>
      </c>
      <c r="I53" s="19">
        <f t="shared" si="25"/>
        <v>0</v>
      </c>
      <c r="J53" s="19">
        <f t="shared" si="25"/>
        <v>0</v>
      </c>
      <c r="K53" s="19">
        <f t="shared" si="25"/>
        <v>0</v>
      </c>
      <c r="L53" s="19">
        <f t="shared" si="25"/>
        <v>1329297.6203404092</v>
      </c>
      <c r="M53" s="19">
        <f t="shared" si="25"/>
        <v>5946639.9937677402</v>
      </c>
      <c r="N53" s="19">
        <f t="shared" si="25"/>
        <v>11546874.552308602</v>
      </c>
      <c r="O53" s="19">
        <f t="shared" si="25"/>
        <v>0</v>
      </c>
      <c r="P53" s="19">
        <f t="shared" si="25"/>
        <v>0</v>
      </c>
      <c r="Q53" s="19">
        <f t="shared" si="25"/>
        <v>0</v>
      </c>
      <c r="R53" s="19">
        <f t="shared" si="25"/>
        <v>0</v>
      </c>
      <c r="S53" s="19">
        <f t="shared" si="25"/>
        <v>0</v>
      </c>
      <c r="T53" s="19">
        <f t="shared" si="25"/>
        <v>0</v>
      </c>
      <c r="U53" s="19">
        <f t="shared" si="25"/>
        <v>0</v>
      </c>
      <c r="V53" s="19">
        <f t="shared" si="25"/>
        <v>0</v>
      </c>
      <c r="W53" s="19">
        <f t="shared" si="25"/>
        <v>0</v>
      </c>
      <c r="X53" s="19">
        <f t="shared" si="25"/>
        <v>0</v>
      </c>
      <c r="Y53" s="19">
        <f t="shared" si="25"/>
        <v>0</v>
      </c>
      <c r="Z53" s="19">
        <f t="shared" si="25"/>
        <v>0</v>
      </c>
      <c r="AA53" s="19">
        <f t="shared" si="25"/>
        <v>0</v>
      </c>
      <c r="AB53" s="19">
        <f t="shared" si="25"/>
        <v>0</v>
      </c>
      <c r="AC53" s="19">
        <f t="shared" si="25"/>
        <v>0</v>
      </c>
      <c r="AD53" s="19">
        <f t="shared" si="25"/>
        <v>0</v>
      </c>
      <c r="AE53" s="19">
        <f t="shared" si="25"/>
        <v>0</v>
      </c>
      <c r="AF53" s="19">
        <f t="shared" si="25"/>
        <v>0</v>
      </c>
      <c r="AG53" s="19">
        <f t="shared" si="25"/>
        <v>0</v>
      </c>
      <c r="AH53" s="19">
        <f t="shared" si="25"/>
        <v>0</v>
      </c>
      <c r="AI53" s="19">
        <f t="shared" si="25"/>
        <v>0</v>
      </c>
      <c r="AJ53" s="19">
        <f t="shared" si="25"/>
        <v>0</v>
      </c>
      <c r="AK53" s="19">
        <f t="shared" si="25"/>
        <v>0</v>
      </c>
      <c r="AL53" s="19">
        <f t="shared" si="25"/>
        <v>0</v>
      </c>
      <c r="AM53" s="19">
        <f t="shared" si="25"/>
        <v>0</v>
      </c>
      <c r="AN53" s="19">
        <f t="shared" si="25"/>
        <v>0</v>
      </c>
      <c r="AO53" s="19">
        <f t="shared" si="25"/>
        <v>0</v>
      </c>
      <c r="AP53" s="19">
        <f t="shared" si="25"/>
        <v>0</v>
      </c>
      <c r="AQ53" s="19">
        <f t="shared" si="25"/>
        <v>0</v>
      </c>
      <c r="AR53" s="19">
        <f t="shared" si="25"/>
        <v>0</v>
      </c>
    </row>
    <row r="54" spans="1:44">
      <c r="B54" s="1" t="s">
        <v>223</v>
      </c>
      <c r="C54" s="87" t="s">
        <v>80</v>
      </c>
      <c r="D54" s="86">
        <f>SUM(F54:AR54)</f>
        <v>15835803.044955436</v>
      </c>
      <c r="E54" s="19"/>
      <c r="F54" s="19">
        <f t="shared" ref="F54:AR54" si="26">F17*F$49</f>
        <v>0</v>
      </c>
      <c r="G54" s="19">
        <f t="shared" si="26"/>
        <v>0</v>
      </c>
      <c r="H54" s="19">
        <f t="shared" si="26"/>
        <v>0</v>
      </c>
      <c r="I54" s="19">
        <f t="shared" si="26"/>
        <v>0</v>
      </c>
      <c r="J54" s="19">
        <f t="shared" si="26"/>
        <v>0</v>
      </c>
      <c r="K54" s="19">
        <f t="shared" si="26"/>
        <v>0</v>
      </c>
      <c r="L54" s="19">
        <f t="shared" si="26"/>
        <v>1185721.1549159614</v>
      </c>
      <c r="M54" s="19">
        <f t="shared" si="26"/>
        <v>5106054.3759848159</v>
      </c>
      <c r="N54" s="19">
        <f t="shared" si="26"/>
        <v>9544027.5140546579</v>
      </c>
      <c r="O54" s="19">
        <f t="shared" si="26"/>
        <v>0</v>
      </c>
      <c r="P54" s="19">
        <f t="shared" si="26"/>
        <v>0</v>
      </c>
      <c r="Q54" s="19">
        <f t="shared" si="26"/>
        <v>0</v>
      </c>
      <c r="R54" s="19">
        <f t="shared" si="26"/>
        <v>0</v>
      </c>
      <c r="S54" s="19">
        <f t="shared" si="26"/>
        <v>0</v>
      </c>
      <c r="T54" s="19">
        <f t="shared" si="26"/>
        <v>0</v>
      </c>
      <c r="U54" s="19">
        <f t="shared" si="26"/>
        <v>0</v>
      </c>
      <c r="V54" s="19">
        <f t="shared" si="26"/>
        <v>0</v>
      </c>
      <c r="W54" s="19">
        <f t="shared" si="26"/>
        <v>0</v>
      </c>
      <c r="X54" s="19">
        <f t="shared" si="26"/>
        <v>0</v>
      </c>
      <c r="Y54" s="19">
        <f t="shared" si="26"/>
        <v>0</v>
      </c>
      <c r="Z54" s="19">
        <f t="shared" si="26"/>
        <v>0</v>
      </c>
      <c r="AA54" s="19">
        <f t="shared" si="26"/>
        <v>0</v>
      </c>
      <c r="AB54" s="19">
        <f t="shared" si="26"/>
        <v>0</v>
      </c>
      <c r="AC54" s="19">
        <f t="shared" si="26"/>
        <v>0</v>
      </c>
      <c r="AD54" s="19">
        <f t="shared" si="26"/>
        <v>0</v>
      </c>
      <c r="AE54" s="19">
        <f t="shared" si="26"/>
        <v>0</v>
      </c>
      <c r="AF54" s="19">
        <f t="shared" si="26"/>
        <v>0</v>
      </c>
      <c r="AG54" s="19">
        <f t="shared" si="26"/>
        <v>0</v>
      </c>
      <c r="AH54" s="19">
        <f t="shared" si="26"/>
        <v>0</v>
      </c>
      <c r="AI54" s="19">
        <f t="shared" si="26"/>
        <v>0</v>
      </c>
      <c r="AJ54" s="19">
        <f t="shared" si="26"/>
        <v>0</v>
      </c>
      <c r="AK54" s="19">
        <f t="shared" si="26"/>
        <v>0</v>
      </c>
      <c r="AL54" s="19">
        <f t="shared" si="26"/>
        <v>0</v>
      </c>
      <c r="AM54" s="19">
        <f t="shared" si="26"/>
        <v>0</v>
      </c>
      <c r="AN54" s="19">
        <f t="shared" si="26"/>
        <v>0</v>
      </c>
      <c r="AO54" s="19">
        <f t="shared" si="26"/>
        <v>0</v>
      </c>
      <c r="AP54" s="19">
        <f t="shared" si="26"/>
        <v>0</v>
      </c>
      <c r="AQ54" s="19">
        <f t="shared" si="26"/>
        <v>0</v>
      </c>
      <c r="AR54" s="19">
        <f t="shared" si="26"/>
        <v>0</v>
      </c>
    </row>
    <row r="55" spans="1:44">
      <c r="C55" s="87"/>
      <c r="D55" s="86"/>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row>
    <row r="56" spans="1:44" s="2" customFormat="1" ht="15">
      <c r="A56" s="2" t="s">
        <v>224</v>
      </c>
      <c r="C56" s="99"/>
      <c r="D56" s="100"/>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row>
    <row r="57" spans="1:44">
      <c r="B57" s="1" t="s">
        <v>23</v>
      </c>
      <c r="C57" s="87" t="s">
        <v>80</v>
      </c>
      <c r="D57" s="86">
        <f>SUM(F57:AR57)</f>
        <v>315671.26775934198</v>
      </c>
      <c r="F57" s="19">
        <f>IFERROR(VLOOKUP(F$7,'REF Project Costs'!$A$4:$I$16,5,FALSE),0)</f>
        <v>0</v>
      </c>
      <c r="G57" s="19">
        <f>IFERROR(VLOOKUP(G$7,'REF Project Costs'!$A$4:$I$16,5,FALSE),0)</f>
        <v>0</v>
      </c>
      <c r="H57" s="19">
        <f>IFERROR(VLOOKUP(H$7,'REF Project Costs'!$A$4:$I$16,5,FALSE),0)</f>
        <v>0</v>
      </c>
      <c r="I57" s="19">
        <f>IFERROR(VLOOKUP(I$7,'REF Project Costs'!$A$4:$I$16,5,FALSE),0)</f>
        <v>0</v>
      </c>
      <c r="J57" s="19">
        <f>IFERROR(VLOOKUP(J$7,'REF Project Costs'!$A$4:$I$16,5,FALSE),0)</f>
        <v>0</v>
      </c>
      <c r="K57" s="19">
        <f>IFERROR(VLOOKUP(K$7,'REF Project Costs'!$A$4:$I$16,5,FALSE),0)</f>
        <v>0</v>
      </c>
      <c r="L57" s="19">
        <f>IFERROR(VLOOKUP(L$7,'REF Project Costs'!$A$4:$I$16,5,FALSE),0)</f>
        <v>0</v>
      </c>
      <c r="M57" s="19">
        <f>IFERROR(VLOOKUP(M$7,'REF Project Costs'!$A$4:$I$16,5,FALSE),0)</f>
        <v>0</v>
      </c>
      <c r="N57" s="19">
        <f>IFERROR(VLOOKUP(N$7,'REF Project Costs'!$A$4:$I$16,5,FALSE),0)</f>
        <v>0</v>
      </c>
      <c r="O57" s="19">
        <f>IFERROR(VLOOKUP(O$7,'REF Project Costs'!$A$4:$I$16,5,FALSE),0)</f>
        <v>315671.26775934198</v>
      </c>
      <c r="P57" s="19">
        <f>IFERROR(VLOOKUP(P$7,'REF Project Costs'!$A$4:$I$16,5,FALSE),0)</f>
        <v>0</v>
      </c>
      <c r="Q57" s="19">
        <f>IFERROR(VLOOKUP(Q$7,'REF Project Costs'!$A$4:$I$16,5,FALSE),0)</f>
        <v>0</v>
      </c>
      <c r="R57" s="19">
        <f>IFERROR(VLOOKUP(R$7,'REF Project Costs'!$A$4:$I$16,5,FALSE),0)</f>
        <v>0</v>
      </c>
      <c r="S57" s="19">
        <f>IFERROR(VLOOKUP(S$7,'REF Project Costs'!$A$4:$I$16,5,FALSE),0)</f>
        <v>0</v>
      </c>
      <c r="T57" s="19">
        <f>IFERROR(VLOOKUP(T$7,'REF Project Costs'!$A$4:$I$16,5,FALSE),0)</f>
        <v>0</v>
      </c>
      <c r="U57" s="19">
        <f>IFERROR(VLOOKUP(U$7,'REF Project Costs'!$A$4:$I$16,5,FALSE),0)</f>
        <v>0</v>
      </c>
      <c r="V57" s="19">
        <f>IFERROR(VLOOKUP(V$7,'REF Project Costs'!$A$4:$I$16,5,FALSE),0)</f>
        <v>0</v>
      </c>
      <c r="W57" s="19">
        <f>IFERROR(VLOOKUP(W$7,'REF Project Costs'!$A$4:$I$16,5,FALSE),0)</f>
        <v>0</v>
      </c>
      <c r="X57" s="19">
        <f>IFERROR(VLOOKUP(X$7,'REF Project Costs'!$A$4:$I$16,5,FALSE),0)</f>
        <v>0</v>
      </c>
      <c r="Y57" s="19">
        <f>IFERROR(VLOOKUP(Y$7,'REF Project Costs'!$A$4:$I$16,5,FALSE),0)</f>
        <v>0</v>
      </c>
      <c r="Z57" s="19">
        <f>IFERROR(VLOOKUP(Z$7,'REF Project Costs'!$A$4:$I$16,5,FALSE),0)</f>
        <v>0</v>
      </c>
      <c r="AA57" s="19">
        <f>IFERROR(VLOOKUP(AA$7,'REF Project Costs'!$A$4:$I$16,5,FALSE),0)</f>
        <v>0</v>
      </c>
      <c r="AB57" s="19">
        <f>IFERROR(VLOOKUP(AB$7,'REF Project Costs'!$A$4:$I$16,5,FALSE),0)</f>
        <v>0</v>
      </c>
      <c r="AC57" s="19">
        <f>IFERROR(VLOOKUP(AC$7,'REF Project Costs'!$A$4:$I$16,5,FALSE),0)</f>
        <v>0</v>
      </c>
      <c r="AD57" s="19">
        <f>IFERROR(VLOOKUP(AD$7,'REF Project Costs'!$A$4:$I$16,5,FALSE),0)</f>
        <v>0</v>
      </c>
      <c r="AE57" s="19">
        <f>IFERROR(VLOOKUP(AE$7,'REF Project Costs'!$A$4:$I$16,5,FALSE),0)</f>
        <v>0</v>
      </c>
      <c r="AF57" s="19">
        <f>IFERROR(VLOOKUP(AF$7,'REF Project Costs'!$A$4:$I$16,5,FALSE),0)</f>
        <v>0</v>
      </c>
      <c r="AG57" s="19">
        <f>IFERROR(VLOOKUP(AG$7,'REF Project Costs'!$A$4:$I$16,5,FALSE),0)</f>
        <v>0</v>
      </c>
      <c r="AH57" s="19">
        <f>IFERROR(VLOOKUP(AH$7,'REF Project Costs'!$A$4:$I$16,5,FALSE),0)</f>
        <v>0</v>
      </c>
      <c r="AI57" s="19">
        <f>IFERROR(VLOOKUP(AI$7,'REF Project Costs'!$A$4:$I$16,5,FALSE),0)</f>
        <v>0</v>
      </c>
      <c r="AJ57" s="19">
        <f>IFERROR(VLOOKUP(AJ$7,'REF Project Costs'!$A$4:$I$16,5,FALSE),0)</f>
        <v>0</v>
      </c>
      <c r="AK57" s="19">
        <f>IFERROR(VLOOKUP(AK$7,'REF Project Costs'!$A$4:$I$16,5,FALSE),0)</f>
        <v>0</v>
      </c>
      <c r="AL57" s="19">
        <f>IFERROR(VLOOKUP(AL$7,'REF Project Costs'!$A$4:$I$16,5,FALSE),0)</f>
        <v>0</v>
      </c>
      <c r="AM57" s="19">
        <f>IFERROR(VLOOKUP(AM$7,'REF Project Costs'!$A$4:$I$16,5,FALSE),0)</f>
        <v>0</v>
      </c>
      <c r="AN57" s="19">
        <f>IFERROR(VLOOKUP(AN$7,'REF Project Costs'!$A$4:$I$16,5,FALSE),0)</f>
        <v>0</v>
      </c>
      <c r="AO57" s="19">
        <f>IFERROR(VLOOKUP(AO$7,'REF Project Costs'!$A$4:$I$16,5,FALSE),0)</f>
        <v>0</v>
      </c>
      <c r="AP57" s="19">
        <f>IFERROR(VLOOKUP(AP$7,'REF Project Costs'!$A$4:$I$16,5,FALSE),0)</f>
        <v>0</v>
      </c>
      <c r="AQ57" s="19">
        <f>IFERROR(VLOOKUP(AQ$7,'REF Project Costs'!$A$4:$I$16,5,FALSE),0)</f>
        <v>0</v>
      </c>
      <c r="AR57" s="19">
        <f>IFERROR(VLOOKUP(AR$7,'REF Project Costs'!$A$4:$I$16,5,FALSE),0)</f>
        <v>0</v>
      </c>
    </row>
    <row r="58" spans="1:44">
      <c r="C58" s="87"/>
      <c r="D58" s="86"/>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row>
    <row r="59" spans="1:44" ht="15">
      <c r="B59" s="2" t="s">
        <v>220</v>
      </c>
      <c r="C59" s="12"/>
    </row>
    <row r="60" spans="1:44">
      <c r="B60" s="1" t="s">
        <v>221</v>
      </c>
      <c r="C60" s="87" t="s">
        <v>80</v>
      </c>
      <c r="D60" s="86">
        <f>SUM(F60:AR60)</f>
        <v>315671.26775934198</v>
      </c>
      <c r="E60" s="19"/>
      <c r="F60" s="19">
        <f t="shared" ref="F60:AR60" si="27">F$57*F15</f>
        <v>0</v>
      </c>
      <c r="G60" s="19">
        <f t="shared" si="27"/>
        <v>0</v>
      </c>
      <c r="H60" s="19">
        <f t="shared" si="27"/>
        <v>0</v>
      </c>
      <c r="I60" s="19">
        <f t="shared" si="27"/>
        <v>0</v>
      </c>
      <c r="J60" s="19">
        <f t="shared" si="27"/>
        <v>0</v>
      </c>
      <c r="K60" s="19">
        <f t="shared" si="27"/>
        <v>0</v>
      </c>
      <c r="L60" s="19">
        <f t="shared" si="27"/>
        <v>0</v>
      </c>
      <c r="M60" s="19">
        <f t="shared" si="27"/>
        <v>0</v>
      </c>
      <c r="N60" s="19">
        <f t="shared" si="27"/>
        <v>0</v>
      </c>
      <c r="O60" s="19">
        <f t="shared" si="27"/>
        <v>315671.26775934198</v>
      </c>
      <c r="P60" s="19">
        <f t="shared" si="27"/>
        <v>0</v>
      </c>
      <c r="Q60" s="19">
        <f t="shared" si="27"/>
        <v>0</v>
      </c>
      <c r="R60" s="19">
        <f t="shared" si="27"/>
        <v>0</v>
      </c>
      <c r="S60" s="19">
        <f t="shared" si="27"/>
        <v>0</v>
      </c>
      <c r="T60" s="19">
        <f t="shared" si="27"/>
        <v>0</v>
      </c>
      <c r="U60" s="19">
        <f t="shared" si="27"/>
        <v>0</v>
      </c>
      <c r="V60" s="19">
        <f t="shared" si="27"/>
        <v>0</v>
      </c>
      <c r="W60" s="19">
        <f t="shared" si="27"/>
        <v>0</v>
      </c>
      <c r="X60" s="19">
        <f t="shared" si="27"/>
        <v>0</v>
      </c>
      <c r="Y60" s="19">
        <f t="shared" si="27"/>
        <v>0</v>
      </c>
      <c r="Z60" s="19">
        <f t="shared" si="27"/>
        <v>0</v>
      </c>
      <c r="AA60" s="19">
        <f t="shared" si="27"/>
        <v>0</v>
      </c>
      <c r="AB60" s="19">
        <f t="shared" si="27"/>
        <v>0</v>
      </c>
      <c r="AC60" s="19">
        <f t="shared" si="27"/>
        <v>0</v>
      </c>
      <c r="AD60" s="19">
        <f t="shared" si="27"/>
        <v>0</v>
      </c>
      <c r="AE60" s="19">
        <f t="shared" si="27"/>
        <v>0</v>
      </c>
      <c r="AF60" s="19">
        <f t="shared" si="27"/>
        <v>0</v>
      </c>
      <c r="AG60" s="19">
        <f t="shared" si="27"/>
        <v>0</v>
      </c>
      <c r="AH60" s="19">
        <f t="shared" si="27"/>
        <v>0</v>
      </c>
      <c r="AI60" s="19">
        <f t="shared" si="27"/>
        <v>0</v>
      </c>
      <c r="AJ60" s="19">
        <f t="shared" si="27"/>
        <v>0</v>
      </c>
      <c r="AK60" s="19">
        <f t="shared" si="27"/>
        <v>0</v>
      </c>
      <c r="AL60" s="19">
        <f t="shared" si="27"/>
        <v>0</v>
      </c>
      <c r="AM60" s="19">
        <f t="shared" si="27"/>
        <v>0</v>
      </c>
      <c r="AN60" s="19">
        <f t="shared" si="27"/>
        <v>0</v>
      </c>
      <c r="AO60" s="19">
        <f t="shared" si="27"/>
        <v>0</v>
      </c>
      <c r="AP60" s="19">
        <f t="shared" si="27"/>
        <v>0</v>
      </c>
      <c r="AQ60" s="19">
        <f t="shared" si="27"/>
        <v>0</v>
      </c>
      <c r="AR60" s="19">
        <f t="shared" si="27"/>
        <v>0</v>
      </c>
    </row>
    <row r="61" spans="1:44">
      <c r="B61" s="1" t="s">
        <v>222</v>
      </c>
      <c r="C61" s="87" t="s">
        <v>80</v>
      </c>
      <c r="D61" s="86">
        <f>SUM(F61:AR61)</f>
        <v>264369.71703581937</v>
      </c>
      <c r="E61" s="19"/>
      <c r="F61" s="19">
        <f t="shared" ref="F61:AR61" si="28">F$57*F16</f>
        <v>0</v>
      </c>
      <c r="G61" s="19">
        <f t="shared" si="28"/>
        <v>0</v>
      </c>
      <c r="H61" s="19">
        <f t="shared" si="28"/>
        <v>0</v>
      </c>
      <c r="I61" s="19">
        <f t="shared" si="28"/>
        <v>0</v>
      </c>
      <c r="J61" s="19">
        <f t="shared" si="28"/>
        <v>0</v>
      </c>
      <c r="K61" s="19">
        <f t="shared" si="28"/>
        <v>0</v>
      </c>
      <c r="L61" s="19">
        <f t="shared" si="28"/>
        <v>0</v>
      </c>
      <c r="M61" s="19">
        <f t="shared" si="28"/>
        <v>0</v>
      </c>
      <c r="N61" s="19">
        <f t="shared" si="28"/>
        <v>0</v>
      </c>
      <c r="O61" s="19">
        <f t="shared" si="28"/>
        <v>264369.71703581937</v>
      </c>
      <c r="P61" s="19">
        <f t="shared" si="28"/>
        <v>0</v>
      </c>
      <c r="Q61" s="19">
        <f t="shared" si="28"/>
        <v>0</v>
      </c>
      <c r="R61" s="19">
        <f t="shared" si="28"/>
        <v>0</v>
      </c>
      <c r="S61" s="19">
        <f t="shared" si="28"/>
        <v>0</v>
      </c>
      <c r="T61" s="19">
        <f t="shared" si="28"/>
        <v>0</v>
      </c>
      <c r="U61" s="19">
        <f t="shared" si="28"/>
        <v>0</v>
      </c>
      <c r="V61" s="19">
        <f t="shared" si="28"/>
        <v>0</v>
      </c>
      <c r="W61" s="19">
        <f t="shared" si="28"/>
        <v>0</v>
      </c>
      <c r="X61" s="19">
        <f t="shared" si="28"/>
        <v>0</v>
      </c>
      <c r="Y61" s="19">
        <f t="shared" si="28"/>
        <v>0</v>
      </c>
      <c r="Z61" s="19">
        <f t="shared" si="28"/>
        <v>0</v>
      </c>
      <c r="AA61" s="19">
        <f t="shared" si="28"/>
        <v>0</v>
      </c>
      <c r="AB61" s="19">
        <f t="shared" si="28"/>
        <v>0</v>
      </c>
      <c r="AC61" s="19">
        <f t="shared" si="28"/>
        <v>0</v>
      </c>
      <c r="AD61" s="19">
        <f t="shared" si="28"/>
        <v>0</v>
      </c>
      <c r="AE61" s="19">
        <f t="shared" si="28"/>
        <v>0</v>
      </c>
      <c r="AF61" s="19">
        <f t="shared" si="28"/>
        <v>0</v>
      </c>
      <c r="AG61" s="19">
        <f t="shared" si="28"/>
        <v>0</v>
      </c>
      <c r="AH61" s="19">
        <f t="shared" si="28"/>
        <v>0</v>
      </c>
      <c r="AI61" s="19">
        <f t="shared" si="28"/>
        <v>0</v>
      </c>
      <c r="AJ61" s="19">
        <f t="shared" si="28"/>
        <v>0</v>
      </c>
      <c r="AK61" s="19">
        <f t="shared" si="28"/>
        <v>0</v>
      </c>
      <c r="AL61" s="19">
        <f t="shared" si="28"/>
        <v>0</v>
      </c>
      <c r="AM61" s="19">
        <f t="shared" si="28"/>
        <v>0</v>
      </c>
      <c r="AN61" s="19">
        <f t="shared" si="28"/>
        <v>0</v>
      </c>
      <c r="AO61" s="19">
        <f t="shared" si="28"/>
        <v>0</v>
      </c>
      <c r="AP61" s="19">
        <f t="shared" si="28"/>
        <v>0</v>
      </c>
      <c r="AQ61" s="19">
        <f t="shared" si="28"/>
        <v>0</v>
      </c>
      <c r="AR61" s="19">
        <f t="shared" si="28"/>
        <v>0</v>
      </c>
    </row>
    <row r="62" spans="1:44">
      <c r="B62" s="1" t="s">
        <v>223</v>
      </c>
      <c r="C62" s="87" t="s">
        <v>80</v>
      </c>
      <c r="D62" s="86">
        <f>SUM(F62:AR62)</f>
        <v>210345.0945537377</v>
      </c>
      <c r="E62" s="19"/>
      <c r="F62" s="19">
        <f t="shared" ref="F62:AR62" si="29">F$57*F17</f>
        <v>0</v>
      </c>
      <c r="G62" s="19">
        <f t="shared" si="29"/>
        <v>0</v>
      </c>
      <c r="H62" s="19">
        <f t="shared" si="29"/>
        <v>0</v>
      </c>
      <c r="I62" s="19">
        <f t="shared" si="29"/>
        <v>0</v>
      </c>
      <c r="J62" s="19">
        <f t="shared" si="29"/>
        <v>0</v>
      </c>
      <c r="K62" s="19">
        <f t="shared" si="29"/>
        <v>0</v>
      </c>
      <c r="L62" s="19">
        <f t="shared" si="29"/>
        <v>0</v>
      </c>
      <c r="M62" s="19">
        <f t="shared" si="29"/>
        <v>0</v>
      </c>
      <c r="N62" s="19">
        <f t="shared" si="29"/>
        <v>0</v>
      </c>
      <c r="O62" s="19">
        <f t="shared" si="29"/>
        <v>210345.0945537377</v>
      </c>
      <c r="P62" s="19">
        <f t="shared" si="29"/>
        <v>0</v>
      </c>
      <c r="Q62" s="19">
        <f t="shared" si="29"/>
        <v>0</v>
      </c>
      <c r="R62" s="19">
        <f t="shared" si="29"/>
        <v>0</v>
      </c>
      <c r="S62" s="19">
        <f t="shared" si="29"/>
        <v>0</v>
      </c>
      <c r="T62" s="19">
        <f t="shared" si="29"/>
        <v>0</v>
      </c>
      <c r="U62" s="19">
        <f t="shared" si="29"/>
        <v>0</v>
      </c>
      <c r="V62" s="19">
        <f t="shared" si="29"/>
        <v>0</v>
      </c>
      <c r="W62" s="19">
        <f t="shared" si="29"/>
        <v>0</v>
      </c>
      <c r="X62" s="19">
        <f t="shared" si="29"/>
        <v>0</v>
      </c>
      <c r="Y62" s="19">
        <f t="shared" si="29"/>
        <v>0</v>
      </c>
      <c r="Z62" s="19">
        <f t="shared" si="29"/>
        <v>0</v>
      </c>
      <c r="AA62" s="19">
        <f t="shared" si="29"/>
        <v>0</v>
      </c>
      <c r="AB62" s="19">
        <f t="shared" si="29"/>
        <v>0</v>
      </c>
      <c r="AC62" s="19">
        <f t="shared" si="29"/>
        <v>0</v>
      </c>
      <c r="AD62" s="19">
        <f t="shared" si="29"/>
        <v>0</v>
      </c>
      <c r="AE62" s="19">
        <f t="shared" si="29"/>
        <v>0</v>
      </c>
      <c r="AF62" s="19">
        <f t="shared" si="29"/>
        <v>0</v>
      </c>
      <c r="AG62" s="19">
        <f t="shared" si="29"/>
        <v>0</v>
      </c>
      <c r="AH62" s="19">
        <f t="shared" si="29"/>
        <v>0</v>
      </c>
      <c r="AI62" s="19">
        <f t="shared" si="29"/>
        <v>0</v>
      </c>
      <c r="AJ62" s="19">
        <f t="shared" si="29"/>
        <v>0</v>
      </c>
      <c r="AK62" s="19">
        <f t="shared" si="29"/>
        <v>0</v>
      </c>
      <c r="AL62" s="19">
        <f t="shared" si="29"/>
        <v>0</v>
      </c>
      <c r="AM62" s="19">
        <f t="shared" si="29"/>
        <v>0</v>
      </c>
      <c r="AN62" s="19">
        <f t="shared" si="29"/>
        <v>0</v>
      </c>
      <c r="AO62" s="19">
        <f t="shared" si="29"/>
        <v>0</v>
      </c>
      <c r="AP62" s="19">
        <f t="shared" si="29"/>
        <v>0</v>
      </c>
      <c r="AQ62" s="19">
        <f t="shared" si="29"/>
        <v>0</v>
      </c>
      <c r="AR62" s="19">
        <f t="shared" si="29"/>
        <v>0</v>
      </c>
    </row>
    <row r="63" spans="1:44">
      <c r="C63" s="12"/>
    </row>
    <row r="64" spans="1:44" s="9" customFormat="1">
      <c r="A64" s="8" t="s">
        <v>226</v>
      </c>
      <c r="B64" s="8"/>
      <c r="C64" s="13"/>
    </row>
    <row r="65" spans="1:44" ht="15">
      <c r="A65" s="2" t="s">
        <v>214</v>
      </c>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row>
    <row r="66" spans="1:44">
      <c r="B66" s="1" t="s">
        <v>221</v>
      </c>
      <c r="C66" s="87" t="s">
        <v>80</v>
      </c>
      <c r="D66" s="86">
        <f>SUM(F66:AR66)</f>
        <v>21531547.411351431</v>
      </c>
      <c r="F66" s="19">
        <f t="shared" ref="F66:AR66" si="30">F52-F30</f>
        <v>0</v>
      </c>
      <c r="G66" s="19">
        <f t="shared" si="30"/>
        <v>0</v>
      </c>
      <c r="H66" s="19">
        <f t="shared" si="30"/>
        <v>0</v>
      </c>
      <c r="I66" s="19">
        <f t="shared" si="30"/>
        <v>0</v>
      </c>
      <c r="J66" s="19">
        <f t="shared" si="30"/>
        <v>0</v>
      </c>
      <c r="K66" s="19">
        <f t="shared" si="30"/>
        <v>0</v>
      </c>
      <c r="L66" s="19">
        <f t="shared" si="30"/>
        <v>1452559.4007817144</v>
      </c>
      <c r="M66" s="19">
        <f t="shared" si="30"/>
        <v>6692995.7028839365</v>
      </c>
      <c r="N66" s="19">
        <f t="shared" si="30"/>
        <v>13385992.307685779</v>
      </c>
      <c r="O66" s="19">
        <f t="shared" si="30"/>
        <v>0</v>
      </c>
      <c r="P66" s="19">
        <f t="shared" si="30"/>
        <v>0</v>
      </c>
      <c r="Q66" s="19">
        <f t="shared" si="30"/>
        <v>0</v>
      </c>
      <c r="R66" s="19">
        <f t="shared" si="30"/>
        <v>0</v>
      </c>
      <c r="S66" s="19">
        <f t="shared" si="30"/>
        <v>0</v>
      </c>
      <c r="T66" s="19">
        <f t="shared" si="30"/>
        <v>0</v>
      </c>
      <c r="U66" s="19">
        <f t="shared" si="30"/>
        <v>0</v>
      </c>
      <c r="V66" s="19">
        <f t="shared" si="30"/>
        <v>0</v>
      </c>
      <c r="W66" s="19">
        <f t="shared" si="30"/>
        <v>0</v>
      </c>
      <c r="X66" s="19">
        <f t="shared" si="30"/>
        <v>0</v>
      </c>
      <c r="Y66" s="19">
        <f t="shared" si="30"/>
        <v>0</v>
      </c>
      <c r="Z66" s="19">
        <f t="shared" si="30"/>
        <v>0</v>
      </c>
      <c r="AA66" s="19">
        <f t="shared" si="30"/>
        <v>0</v>
      </c>
      <c r="AB66" s="19">
        <f t="shared" si="30"/>
        <v>0</v>
      </c>
      <c r="AC66" s="19">
        <f t="shared" si="30"/>
        <v>0</v>
      </c>
      <c r="AD66" s="19">
        <f t="shared" si="30"/>
        <v>0</v>
      </c>
      <c r="AE66" s="19">
        <f t="shared" si="30"/>
        <v>0</v>
      </c>
      <c r="AF66" s="19">
        <f t="shared" si="30"/>
        <v>0</v>
      </c>
      <c r="AG66" s="19">
        <f t="shared" si="30"/>
        <v>0</v>
      </c>
      <c r="AH66" s="19">
        <f t="shared" si="30"/>
        <v>0</v>
      </c>
      <c r="AI66" s="19">
        <f t="shared" si="30"/>
        <v>0</v>
      </c>
      <c r="AJ66" s="19">
        <f t="shared" si="30"/>
        <v>0</v>
      </c>
      <c r="AK66" s="19">
        <f t="shared" si="30"/>
        <v>0</v>
      </c>
      <c r="AL66" s="19">
        <f t="shared" si="30"/>
        <v>0</v>
      </c>
      <c r="AM66" s="19">
        <f t="shared" si="30"/>
        <v>0</v>
      </c>
      <c r="AN66" s="19">
        <f t="shared" si="30"/>
        <v>0</v>
      </c>
      <c r="AO66" s="19">
        <f t="shared" si="30"/>
        <v>0</v>
      </c>
      <c r="AP66" s="19">
        <f t="shared" si="30"/>
        <v>0</v>
      </c>
      <c r="AQ66" s="19">
        <f t="shared" si="30"/>
        <v>0</v>
      </c>
      <c r="AR66" s="19">
        <f t="shared" si="30"/>
        <v>0</v>
      </c>
    </row>
    <row r="67" spans="1:44">
      <c r="B67" s="1" t="s">
        <v>222</v>
      </c>
      <c r="C67" s="87" t="s">
        <v>80</v>
      </c>
      <c r="D67" s="86">
        <f>SUM(F67:AR67)</f>
        <v>18822812.166416749</v>
      </c>
      <c r="F67" s="19">
        <f t="shared" ref="F67:AR67" si="31">F53-F31</f>
        <v>0</v>
      </c>
      <c r="G67" s="19">
        <f t="shared" si="31"/>
        <v>0</v>
      </c>
      <c r="H67" s="19">
        <f t="shared" si="31"/>
        <v>0</v>
      </c>
      <c r="I67" s="19">
        <f t="shared" si="31"/>
        <v>0</v>
      </c>
      <c r="J67" s="19">
        <f t="shared" si="31"/>
        <v>0</v>
      </c>
      <c r="K67" s="19">
        <f t="shared" si="31"/>
        <v>0</v>
      </c>
      <c r="L67" s="19">
        <f t="shared" si="31"/>
        <v>1329297.6203404092</v>
      </c>
      <c r="M67" s="19">
        <f t="shared" si="31"/>
        <v>5946639.9937677402</v>
      </c>
      <c r="N67" s="19">
        <f t="shared" si="31"/>
        <v>11546874.552308602</v>
      </c>
      <c r="O67" s="19">
        <f t="shared" si="31"/>
        <v>0</v>
      </c>
      <c r="P67" s="19">
        <f t="shared" si="31"/>
        <v>0</v>
      </c>
      <c r="Q67" s="19">
        <f t="shared" si="31"/>
        <v>0</v>
      </c>
      <c r="R67" s="19">
        <f t="shared" si="31"/>
        <v>0</v>
      </c>
      <c r="S67" s="19">
        <f t="shared" si="31"/>
        <v>0</v>
      </c>
      <c r="T67" s="19">
        <f t="shared" si="31"/>
        <v>0</v>
      </c>
      <c r="U67" s="19">
        <f t="shared" si="31"/>
        <v>0</v>
      </c>
      <c r="V67" s="19">
        <f t="shared" si="31"/>
        <v>0</v>
      </c>
      <c r="W67" s="19">
        <f t="shared" si="31"/>
        <v>0</v>
      </c>
      <c r="X67" s="19">
        <f t="shared" si="31"/>
        <v>0</v>
      </c>
      <c r="Y67" s="19">
        <f t="shared" si="31"/>
        <v>0</v>
      </c>
      <c r="Z67" s="19">
        <f t="shared" si="31"/>
        <v>0</v>
      </c>
      <c r="AA67" s="19">
        <f t="shared" si="31"/>
        <v>0</v>
      </c>
      <c r="AB67" s="19">
        <f t="shared" si="31"/>
        <v>0</v>
      </c>
      <c r="AC67" s="19">
        <f t="shared" si="31"/>
        <v>0</v>
      </c>
      <c r="AD67" s="19">
        <f t="shared" si="31"/>
        <v>0</v>
      </c>
      <c r="AE67" s="19">
        <f t="shared" si="31"/>
        <v>0</v>
      </c>
      <c r="AF67" s="19">
        <f t="shared" si="31"/>
        <v>0</v>
      </c>
      <c r="AG67" s="19">
        <f t="shared" si="31"/>
        <v>0</v>
      </c>
      <c r="AH67" s="19">
        <f t="shared" si="31"/>
        <v>0</v>
      </c>
      <c r="AI67" s="19">
        <f t="shared" si="31"/>
        <v>0</v>
      </c>
      <c r="AJ67" s="19">
        <f t="shared" si="31"/>
        <v>0</v>
      </c>
      <c r="AK67" s="19">
        <f t="shared" si="31"/>
        <v>0</v>
      </c>
      <c r="AL67" s="19">
        <f t="shared" si="31"/>
        <v>0</v>
      </c>
      <c r="AM67" s="19">
        <f t="shared" si="31"/>
        <v>0</v>
      </c>
      <c r="AN67" s="19">
        <f t="shared" si="31"/>
        <v>0</v>
      </c>
      <c r="AO67" s="19">
        <f t="shared" si="31"/>
        <v>0</v>
      </c>
      <c r="AP67" s="19">
        <f t="shared" si="31"/>
        <v>0</v>
      </c>
      <c r="AQ67" s="19">
        <f t="shared" si="31"/>
        <v>0</v>
      </c>
      <c r="AR67" s="19">
        <f t="shared" si="31"/>
        <v>0</v>
      </c>
    </row>
    <row r="68" spans="1:44">
      <c r="B68" s="1" t="s">
        <v>223</v>
      </c>
      <c r="C68" s="87" t="s">
        <v>80</v>
      </c>
      <c r="D68" s="86">
        <f>SUM(F68:AR68)</f>
        <v>15835803.044955436</v>
      </c>
      <c r="F68" s="19">
        <f t="shared" ref="F68:AR68" si="32">F54-F32</f>
        <v>0</v>
      </c>
      <c r="G68" s="19">
        <f t="shared" si="32"/>
        <v>0</v>
      </c>
      <c r="H68" s="19">
        <f t="shared" si="32"/>
        <v>0</v>
      </c>
      <c r="I68" s="19">
        <f t="shared" si="32"/>
        <v>0</v>
      </c>
      <c r="J68" s="19">
        <f t="shared" si="32"/>
        <v>0</v>
      </c>
      <c r="K68" s="19">
        <f t="shared" si="32"/>
        <v>0</v>
      </c>
      <c r="L68" s="19">
        <f t="shared" si="32"/>
        <v>1185721.1549159614</v>
      </c>
      <c r="M68" s="19">
        <f t="shared" si="32"/>
        <v>5106054.3759848159</v>
      </c>
      <c r="N68" s="19">
        <f t="shared" si="32"/>
        <v>9544027.5140546579</v>
      </c>
      <c r="O68" s="19">
        <f t="shared" si="32"/>
        <v>0</v>
      </c>
      <c r="P68" s="19">
        <f t="shared" si="32"/>
        <v>0</v>
      </c>
      <c r="Q68" s="19">
        <f t="shared" si="32"/>
        <v>0</v>
      </c>
      <c r="R68" s="19">
        <f t="shared" si="32"/>
        <v>0</v>
      </c>
      <c r="S68" s="19">
        <f t="shared" si="32"/>
        <v>0</v>
      </c>
      <c r="T68" s="19">
        <f t="shared" si="32"/>
        <v>0</v>
      </c>
      <c r="U68" s="19">
        <f t="shared" si="32"/>
        <v>0</v>
      </c>
      <c r="V68" s="19">
        <f t="shared" si="32"/>
        <v>0</v>
      </c>
      <c r="W68" s="19">
        <f t="shared" si="32"/>
        <v>0</v>
      </c>
      <c r="X68" s="19">
        <f t="shared" si="32"/>
        <v>0</v>
      </c>
      <c r="Y68" s="19">
        <f t="shared" si="32"/>
        <v>0</v>
      </c>
      <c r="Z68" s="19">
        <f t="shared" si="32"/>
        <v>0</v>
      </c>
      <c r="AA68" s="19">
        <f t="shared" si="32"/>
        <v>0</v>
      </c>
      <c r="AB68" s="19">
        <f t="shared" si="32"/>
        <v>0</v>
      </c>
      <c r="AC68" s="19">
        <f t="shared" si="32"/>
        <v>0</v>
      </c>
      <c r="AD68" s="19">
        <f t="shared" si="32"/>
        <v>0</v>
      </c>
      <c r="AE68" s="19">
        <f t="shared" si="32"/>
        <v>0</v>
      </c>
      <c r="AF68" s="19">
        <f t="shared" si="32"/>
        <v>0</v>
      </c>
      <c r="AG68" s="19">
        <f t="shared" si="32"/>
        <v>0</v>
      </c>
      <c r="AH68" s="19">
        <f t="shared" si="32"/>
        <v>0</v>
      </c>
      <c r="AI68" s="19">
        <f t="shared" si="32"/>
        <v>0</v>
      </c>
      <c r="AJ68" s="19">
        <f t="shared" si="32"/>
        <v>0</v>
      </c>
      <c r="AK68" s="19">
        <f t="shared" si="32"/>
        <v>0</v>
      </c>
      <c r="AL68" s="19">
        <f t="shared" si="32"/>
        <v>0</v>
      </c>
      <c r="AM68" s="19">
        <f t="shared" si="32"/>
        <v>0</v>
      </c>
      <c r="AN68" s="19">
        <f t="shared" si="32"/>
        <v>0</v>
      </c>
      <c r="AO68" s="19">
        <f t="shared" si="32"/>
        <v>0</v>
      </c>
      <c r="AP68" s="19">
        <f t="shared" si="32"/>
        <v>0</v>
      </c>
      <c r="AQ68" s="19">
        <f t="shared" si="32"/>
        <v>0</v>
      </c>
      <c r="AR68" s="19">
        <f t="shared" si="32"/>
        <v>0</v>
      </c>
    </row>
    <row r="69" spans="1:44">
      <c r="C69" s="87"/>
      <c r="D69" s="86"/>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row>
    <row r="70" spans="1:44" ht="15">
      <c r="A70" s="2" t="s">
        <v>224</v>
      </c>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row>
    <row r="71" spans="1:44">
      <c r="B71" s="1" t="s">
        <v>221</v>
      </c>
      <c r="C71" s="87" t="s">
        <v>80</v>
      </c>
      <c r="D71" s="86">
        <f>SUM(F71:AR71)</f>
        <v>-3494029.9751419742</v>
      </c>
      <c r="F71" s="19">
        <f t="shared" ref="F71:AR71" si="33">F60-F39</f>
        <v>0</v>
      </c>
      <c r="G71" s="19">
        <f t="shared" si="33"/>
        <v>0</v>
      </c>
      <c r="H71" s="19">
        <f t="shared" si="33"/>
        <v>0</v>
      </c>
      <c r="I71" s="19">
        <f t="shared" si="33"/>
        <v>0</v>
      </c>
      <c r="J71" s="19">
        <f t="shared" si="33"/>
        <v>0</v>
      </c>
      <c r="K71" s="19">
        <f t="shared" si="33"/>
        <v>0</v>
      </c>
      <c r="L71" s="19">
        <f t="shared" si="33"/>
        <v>0</v>
      </c>
      <c r="M71" s="19">
        <f t="shared" si="33"/>
        <v>0</v>
      </c>
      <c r="N71" s="19">
        <f t="shared" si="33"/>
        <v>0</v>
      </c>
      <c r="O71" s="19">
        <f t="shared" si="33"/>
        <v>315671.26775934198</v>
      </c>
      <c r="P71" s="19">
        <f t="shared" si="33"/>
        <v>0</v>
      </c>
      <c r="Q71" s="19">
        <f t="shared" si="33"/>
        <v>0</v>
      </c>
      <c r="R71" s="19">
        <f t="shared" si="33"/>
        <v>-1453891.6675087409</v>
      </c>
      <c r="S71" s="19">
        <f t="shared" si="33"/>
        <v>0</v>
      </c>
      <c r="T71" s="19">
        <f t="shared" si="33"/>
        <v>0</v>
      </c>
      <c r="U71" s="19">
        <f t="shared" si="33"/>
        <v>0</v>
      </c>
      <c r="V71" s="19">
        <f t="shared" si="33"/>
        <v>0</v>
      </c>
      <c r="W71" s="19">
        <f t="shared" si="33"/>
        <v>-901917.90788383433</v>
      </c>
      <c r="X71" s="19">
        <f t="shared" si="33"/>
        <v>0</v>
      </c>
      <c r="Y71" s="19">
        <f t="shared" si="33"/>
        <v>0</v>
      </c>
      <c r="Z71" s="19">
        <f t="shared" si="33"/>
        <v>0</v>
      </c>
      <c r="AA71" s="19">
        <f t="shared" si="33"/>
        <v>0</v>
      </c>
      <c r="AB71" s="19">
        <f t="shared" si="33"/>
        <v>0</v>
      </c>
      <c r="AC71" s="19">
        <f t="shared" si="33"/>
        <v>0</v>
      </c>
      <c r="AD71" s="19">
        <f t="shared" si="33"/>
        <v>0</v>
      </c>
      <c r="AE71" s="19">
        <f t="shared" si="33"/>
        <v>0</v>
      </c>
      <c r="AF71" s="19">
        <f t="shared" si="33"/>
        <v>0</v>
      </c>
      <c r="AG71" s="19">
        <f t="shared" si="33"/>
        <v>-1453891.6675087409</v>
      </c>
      <c r="AH71" s="19">
        <f t="shared" si="33"/>
        <v>0</v>
      </c>
      <c r="AI71" s="19">
        <f t="shared" si="33"/>
        <v>0</v>
      </c>
      <c r="AJ71" s="19">
        <f t="shared" si="33"/>
        <v>0</v>
      </c>
      <c r="AK71" s="19">
        <f t="shared" si="33"/>
        <v>0</v>
      </c>
      <c r="AL71" s="19">
        <f t="shared" si="33"/>
        <v>0</v>
      </c>
      <c r="AM71" s="19">
        <f t="shared" si="33"/>
        <v>0</v>
      </c>
      <c r="AN71" s="19">
        <f t="shared" si="33"/>
        <v>0</v>
      </c>
      <c r="AO71" s="19">
        <f t="shared" si="33"/>
        <v>0</v>
      </c>
      <c r="AP71" s="19">
        <f t="shared" si="33"/>
        <v>0</v>
      </c>
      <c r="AQ71" s="19">
        <f t="shared" si="33"/>
        <v>0</v>
      </c>
      <c r="AR71" s="19">
        <f t="shared" si="33"/>
        <v>0</v>
      </c>
    </row>
    <row r="72" spans="1:44">
      <c r="B72" s="1" t="s">
        <v>222</v>
      </c>
      <c r="C72" s="87" t="s">
        <v>80</v>
      </c>
      <c r="D72" s="86">
        <f>SUM(F72:AR72)</f>
        <v>-2161409.5324769914</v>
      </c>
      <c r="F72" s="19">
        <f t="shared" ref="F72:AR72" si="34">F61-F40</f>
        <v>0</v>
      </c>
      <c r="G72" s="19">
        <f t="shared" si="34"/>
        <v>0</v>
      </c>
      <c r="H72" s="19">
        <f t="shared" si="34"/>
        <v>0</v>
      </c>
      <c r="I72" s="19">
        <f t="shared" si="34"/>
        <v>0</v>
      </c>
      <c r="J72" s="19">
        <f t="shared" si="34"/>
        <v>0</v>
      </c>
      <c r="K72" s="19">
        <f t="shared" si="34"/>
        <v>0</v>
      </c>
      <c r="L72" s="19">
        <f t="shared" si="34"/>
        <v>0</v>
      </c>
      <c r="M72" s="19">
        <f t="shared" si="34"/>
        <v>0</v>
      </c>
      <c r="N72" s="19">
        <f t="shared" si="34"/>
        <v>0</v>
      </c>
      <c r="O72" s="19">
        <f t="shared" si="34"/>
        <v>264369.71703581937</v>
      </c>
      <c r="P72" s="19">
        <f t="shared" si="34"/>
        <v>0</v>
      </c>
      <c r="Q72" s="19">
        <f t="shared" si="34"/>
        <v>0</v>
      </c>
      <c r="R72" s="19">
        <f t="shared" si="34"/>
        <v>-1114286.9009936762</v>
      </c>
      <c r="S72" s="19">
        <f t="shared" si="34"/>
        <v>0</v>
      </c>
      <c r="T72" s="19">
        <f t="shared" si="34"/>
        <v>0</v>
      </c>
      <c r="U72" s="19">
        <f t="shared" si="34"/>
        <v>0</v>
      </c>
      <c r="V72" s="19">
        <f t="shared" si="34"/>
        <v>0</v>
      </c>
      <c r="W72" s="19">
        <f t="shared" si="34"/>
        <v>-596273.98828868009</v>
      </c>
      <c r="X72" s="19">
        <f t="shared" si="34"/>
        <v>0</v>
      </c>
      <c r="Y72" s="19">
        <f t="shared" si="34"/>
        <v>0</v>
      </c>
      <c r="Z72" s="19">
        <f t="shared" si="34"/>
        <v>0</v>
      </c>
      <c r="AA72" s="19">
        <f t="shared" si="34"/>
        <v>0</v>
      </c>
      <c r="AB72" s="19">
        <f t="shared" si="34"/>
        <v>0</v>
      </c>
      <c r="AC72" s="19">
        <f t="shared" si="34"/>
        <v>0</v>
      </c>
      <c r="AD72" s="19">
        <f t="shared" si="34"/>
        <v>0</v>
      </c>
      <c r="AE72" s="19">
        <f t="shared" si="34"/>
        <v>0</v>
      </c>
      <c r="AF72" s="19">
        <f t="shared" si="34"/>
        <v>0</v>
      </c>
      <c r="AG72" s="19">
        <f t="shared" si="34"/>
        <v>-715218.36023045471</v>
      </c>
      <c r="AH72" s="19">
        <f t="shared" si="34"/>
        <v>0</v>
      </c>
      <c r="AI72" s="19">
        <f t="shared" si="34"/>
        <v>0</v>
      </c>
      <c r="AJ72" s="19">
        <f t="shared" si="34"/>
        <v>0</v>
      </c>
      <c r="AK72" s="19">
        <f t="shared" si="34"/>
        <v>0</v>
      </c>
      <c r="AL72" s="19">
        <f t="shared" si="34"/>
        <v>0</v>
      </c>
      <c r="AM72" s="19">
        <f t="shared" si="34"/>
        <v>0</v>
      </c>
      <c r="AN72" s="19">
        <f t="shared" si="34"/>
        <v>0</v>
      </c>
      <c r="AO72" s="19">
        <f t="shared" si="34"/>
        <v>0</v>
      </c>
      <c r="AP72" s="19">
        <f t="shared" si="34"/>
        <v>0</v>
      </c>
      <c r="AQ72" s="19">
        <f t="shared" si="34"/>
        <v>0</v>
      </c>
      <c r="AR72" s="19">
        <f t="shared" si="34"/>
        <v>0</v>
      </c>
    </row>
    <row r="73" spans="1:44">
      <c r="B73" s="1" t="s">
        <v>223</v>
      </c>
      <c r="C73" s="87" t="s">
        <v>80</v>
      </c>
      <c r="D73" s="86">
        <f>SUM(F73:AR73)</f>
        <v>-1216884.7841468933</v>
      </c>
      <c r="F73" s="19">
        <f t="shared" ref="F73:AR73" si="35">F62-F41</f>
        <v>0</v>
      </c>
      <c r="G73" s="19">
        <f t="shared" si="35"/>
        <v>0</v>
      </c>
      <c r="H73" s="19">
        <f t="shared" si="35"/>
        <v>0</v>
      </c>
      <c r="I73" s="19">
        <f t="shared" si="35"/>
        <v>0</v>
      </c>
      <c r="J73" s="19">
        <f t="shared" si="35"/>
        <v>0</v>
      </c>
      <c r="K73" s="19">
        <f t="shared" si="35"/>
        <v>0</v>
      </c>
      <c r="L73" s="19">
        <f t="shared" si="35"/>
        <v>0</v>
      </c>
      <c r="M73" s="19">
        <f t="shared" si="35"/>
        <v>0</v>
      </c>
      <c r="N73" s="19">
        <f t="shared" si="35"/>
        <v>0</v>
      </c>
      <c r="O73" s="19">
        <f t="shared" si="35"/>
        <v>210345.0945537377</v>
      </c>
      <c r="P73" s="19">
        <f t="shared" si="35"/>
        <v>0</v>
      </c>
      <c r="Q73" s="19">
        <f t="shared" si="35"/>
        <v>0</v>
      </c>
      <c r="R73" s="19">
        <f t="shared" si="35"/>
        <v>-790820.73601993721</v>
      </c>
      <c r="S73" s="19">
        <f t="shared" si="35"/>
        <v>0</v>
      </c>
      <c r="T73" s="19">
        <f t="shared" si="35"/>
        <v>0</v>
      </c>
      <c r="U73" s="19">
        <f t="shared" si="35"/>
        <v>0</v>
      </c>
      <c r="V73" s="19">
        <f t="shared" si="35"/>
        <v>0</v>
      </c>
      <c r="W73" s="19">
        <f t="shared" si="35"/>
        <v>-349779.3146596264</v>
      </c>
      <c r="X73" s="19">
        <f t="shared" si="35"/>
        <v>0</v>
      </c>
      <c r="Y73" s="19">
        <f t="shared" si="35"/>
        <v>0</v>
      </c>
      <c r="Z73" s="19">
        <f t="shared" si="35"/>
        <v>0</v>
      </c>
      <c r="AA73" s="19">
        <f t="shared" si="35"/>
        <v>0</v>
      </c>
      <c r="AB73" s="19">
        <f t="shared" si="35"/>
        <v>0</v>
      </c>
      <c r="AC73" s="19">
        <f t="shared" si="35"/>
        <v>0</v>
      </c>
      <c r="AD73" s="19">
        <f t="shared" si="35"/>
        <v>0</v>
      </c>
      <c r="AE73" s="19">
        <f t="shared" si="35"/>
        <v>0</v>
      </c>
      <c r="AF73" s="19">
        <f t="shared" si="35"/>
        <v>0</v>
      </c>
      <c r="AG73" s="19">
        <f t="shared" si="35"/>
        <v>-286629.82802106754</v>
      </c>
      <c r="AH73" s="19">
        <f t="shared" si="35"/>
        <v>0</v>
      </c>
      <c r="AI73" s="19">
        <f t="shared" si="35"/>
        <v>0</v>
      </c>
      <c r="AJ73" s="19">
        <f t="shared" si="35"/>
        <v>0</v>
      </c>
      <c r="AK73" s="19">
        <f t="shared" si="35"/>
        <v>0</v>
      </c>
      <c r="AL73" s="19">
        <f t="shared" si="35"/>
        <v>0</v>
      </c>
      <c r="AM73" s="19">
        <f t="shared" si="35"/>
        <v>0</v>
      </c>
      <c r="AN73" s="19">
        <f t="shared" si="35"/>
        <v>0</v>
      </c>
      <c r="AO73" s="19">
        <f t="shared" si="35"/>
        <v>0</v>
      </c>
      <c r="AP73" s="19">
        <f t="shared" si="35"/>
        <v>0</v>
      </c>
      <c r="AQ73" s="19">
        <f t="shared" si="35"/>
        <v>0</v>
      </c>
      <c r="AR73" s="19">
        <f t="shared" si="35"/>
        <v>0</v>
      </c>
    </row>
    <row r="75" spans="1:44" ht="15">
      <c r="A75" s="2" t="s">
        <v>227</v>
      </c>
    </row>
    <row r="76" spans="1:44">
      <c r="B76" s="1" t="s">
        <v>221</v>
      </c>
      <c r="C76" s="87" t="s">
        <v>80</v>
      </c>
      <c r="D76" s="86">
        <f>SUM(F76:AR76)</f>
        <v>18037517.436209459</v>
      </c>
      <c r="F76" s="86">
        <f>F66+F71</f>
        <v>0</v>
      </c>
      <c r="G76" s="86">
        <f t="shared" ref="G76:AR76" si="36">G66+G71</f>
        <v>0</v>
      </c>
      <c r="H76" s="86">
        <f t="shared" si="36"/>
        <v>0</v>
      </c>
      <c r="I76" s="86">
        <f t="shared" si="36"/>
        <v>0</v>
      </c>
      <c r="J76" s="86">
        <f t="shared" si="36"/>
        <v>0</v>
      </c>
      <c r="K76" s="86">
        <f t="shared" si="36"/>
        <v>0</v>
      </c>
      <c r="L76" s="86">
        <f t="shared" si="36"/>
        <v>1452559.4007817144</v>
      </c>
      <c r="M76" s="86">
        <f t="shared" si="36"/>
        <v>6692995.7028839365</v>
      </c>
      <c r="N76" s="86">
        <f t="shared" si="36"/>
        <v>13385992.307685779</v>
      </c>
      <c r="O76" s="86">
        <f t="shared" si="36"/>
        <v>315671.26775934198</v>
      </c>
      <c r="P76" s="86">
        <f t="shared" si="36"/>
        <v>0</v>
      </c>
      <c r="Q76" s="86">
        <f t="shared" si="36"/>
        <v>0</v>
      </c>
      <c r="R76" s="86">
        <f t="shared" si="36"/>
        <v>-1453891.6675087409</v>
      </c>
      <c r="S76" s="86">
        <f t="shared" si="36"/>
        <v>0</v>
      </c>
      <c r="T76" s="86">
        <f t="shared" si="36"/>
        <v>0</v>
      </c>
      <c r="U76" s="86">
        <f t="shared" si="36"/>
        <v>0</v>
      </c>
      <c r="V76" s="86">
        <f t="shared" si="36"/>
        <v>0</v>
      </c>
      <c r="W76" s="86">
        <f t="shared" si="36"/>
        <v>-901917.90788383433</v>
      </c>
      <c r="X76" s="86">
        <f t="shared" si="36"/>
        <v>0</v>
      </c>
      <c r="Y76" s="86">
        <f t="shared" si="36"/>
        <v>0</v>
      </c>
      <c r="Z76" s="86">
        <f t="shared" si="36"/>
        <v>0</v>
      </c>
      <c r="AA76" s="86">
        <f t="shared" si="36"/>
        <v>0</v>
      </c>
      <c r="AB76" s="86">
        <f t="shared" si="36"/>
        <v>0</v>
      </c>
      <c r="AC76" s="86">
        <f t="shared" si="36"/>
        <v>0</v>
      </c>
      <c r="AD76" s="86">
        <f t="shared" si="36"/>
        <v>0</v>
      </c>
      <c r="AE76" s="86">
        <f t="shared" si="36"/>
        <v>0</v>
      </c>
      <c r="AF76" s="86">
        <f t="shared" si="36"/>
        <v>0</v>
      </c>
      <c r="AG76" s="86">
        <f t="shared" si="36"/>
        <v>-1453891.6675087409</v>
      </c>
      <c r="AH76" s="86">
        <f t="shared" si="36"/>
        <v>0</v>
      </c>
      <c r="AI76" s="86">
        <f t="shared" si="36"/>
        <v>0</v>
      </c>
      <c r="AJ76" s="86">
        <f t="shared" si="36"/>
        <v>0</v>
      </c>
      <c r="AK76" s="86">
        <f t="shared" si="36"/>
        <v>0</v>
      </c>
      <c r="AL76" s="86">
        <f t="shared" si="36"/>
        <v>0</v>
      </c>
      <c r="AM76" s="86">
        <f t="shared" si="36"/>
        <v>0</v>
      </c>
      <c r="AN76" s="86">
        <f t="shared" si="36"/>
        <v>0</v>
      </c>
      <c r="AO76" s="86">
        <f t="shared" si="36"/>
        <v>0</v>
      </c>
      <c r="AP76" s="86">
        <f t="shared" si="36"/>
        <v>0</v>
      </c>
      <c r="AQ76" s="86">
        <f t="shared" si="36"/>
        <v>0</v>
      </c>
      <c r="AR76" s="86">
        <f t="shared" si="36"/>
        <v>0</v>
      </c>
    </row>
    <row r="77" spans="1:44">
      <c r="B77" s="1" t="s">
        <v>222</v>
      </c>
      <c r="C77" s="87" t="s">
        <v>80</v>
      </c>
      <c r="D77" s="86">
        <f>SUM(F77:AR77)</f>
        <v>16661402.633939756</v>
      </c>
      <c r="F77" s="86">
        <f t="shared" ref="F77:AR77" si="37">F67+F72</f>
        <v>0</v>
      </c>
      <c r="G77" s="86">
        <f t="shared" si="37"/>
        <v>0</v>
      </c>
      <c r="H77" s="86">
        <f t="shared" si="37"/>
        <v>0</v>
      </c>
      <c r="I77" s="86">
        <f t="shared" si="37"/>
        <v>0</v>
      </c>
      <c r="J77" s="86">
        <f t="shared" si="37"/>
        <v>0</v>
      </c>
      <c r="K77" s="86">
        <f t="shared" si="37"/>
        <v>0</v>
      </c>
      <c r="L77" s="86">
        <f t="shared" si="37"/>
        <v>1329297.6203404092</v>
      </c>
      <c r="M77" s="86">
        <f t="shared" si="37"/>
        <v>5946639.9937677402</v>
      </c>
      <c r="N77" s="86">
        <f t="shared" si="37"/>
        <v>11546874.552308602</v>
      </c>
      <c r="O77" s="86">
        <f t="shared" si="37"/>
        <v>264369.71703581937</v>
      </c>
      <c r="P77" s="86">
        <f t="shared" si="37"/>
        <v>0</v>
      </c>
      <c r="Q77" s="86">
        <f t="shared" si="37"/>
        <v>0</v>
      </c>
      <c r="R77" s="86">
        <f t="shared" si="37"/>
        <v>-1114286.9009936762</v>
      </c>
      <c r="S77" s="86">
        <f t="shared" si="37"/>
        <v>0</v>
      </c>
      <c r="T77" s="86">
        <f t="shared" si="37"/>
        <v>0</v>
      </c>
      <c r="U77" s="86">
        <f t="shared" si="37"/>
        <v>0</v>
      </c>
      <c r="V77" s="86">
        <f t="shared" si="37"/>
        <v>0</v>
      </c>
      <c r="W77" s="86">
        <f t="shared" si="37"/>
        <v>-596273.98828868009</v>
      </c>
      <c r="X77" s="86">
        <f t="shared" si="37"/>
        <v>0</v>
      </c>
      <c r="Y77" s="86">
        <f t="shared" si="37"/>
        <v>0</v>
      </c>
      <c r="Z77" s="86">
        <f t="shared" si="37"/>
        <v>0</v>
      </c>
      <c r="AA77" s="86">
        <f t="shared" si="37"/>
        <v>0</v>
      </c>
      <c r="AB77" s="86">
        <f t="shared" si="37"/>
        <v>0</v>
      </c>
      <c r="AC77" s="86">
        <f t="shared" si="37"/>
        <v>0</v>
      </c>
      <c r="AD77" s="86">
        <f t="shared" si="37"/>
        <v>0</v>
      </c>
      <c r="AE77" s="86">
        <f t="shared" si="37"/>
        <v>0</v>
      </c>
      <c r="AF77" s="86">
        <f t="shared" si="37"/>
        <v>0</v>
      </c>
      <c r="AG77" s="86">
        <f t="shared" si="37"/>
        <v>-715218.36023045471</v>
      </c>
      <c r="AH77" s="86">
        <f t="shared" si="37"/>
        <v>0</v>
      </c>
      <c r="AI77" s="86">
        <f t="shared" si="37"/>
        <v>0</v>
      </c>
      <c r="AJ77" s="86">
        <f t="shared" si="37"/>
        <v>0</v>
      </c>
      <c r="AK77" s="86">
        <f t="shared" si="37"/>
        <v>0</v>
      </c>
      <c r="AL77" s="86">
        <f t="shared" si="37"/>
        <v>0</v>
      </c>
      <c r="AM77" s="86">
        <f t="shared" si="37"/>
        <v>0</v>
      </c>
      <c r="AN77" s="86">
        <f t="shared" si="37"/>
        <v>0</v>
      </c>
      <c r="AO77" s="86">
        <f t="shared" si="37"/>
        <v>0</v>
      </c>
      <c r="AP77" s="86">
        <f t="shared" si="37"/>
        <v>0</v>
      </c>
      <c r="AQ77" s="86">
        <f t="shared" si="37"/>
        <v>0</v>
      </c>
      <c r="AR77" s="86">
        <f t="shared" si="37"/>
        <v>0</v>
      </c>
    </row>
    <row r="78" spans="1:44">
      <c r="B78" s="1" t="s">
        <v>223</v>
      </c>
      <c r="C78" s="87" t="s">
        <v>80</v>
      </c>
      <c r="D78" s="86">
        <f>SUM(F78:AR78)</f>
        <v>14618918.260808541</v>
      </c>
      <c r="F78" s="86">
        <f t="shared" ref="F78:AR78" si="38">F68+F73</f>
        <v>0</v>
      </c>
      <c r="G78" s="86">
        <f t="shared" si="38"/>
        <v>0</v>
      </c>
      <c r="H78" s="86">
        <f t="shared" si="38"/>
        <v>0</v>
      </c>
      <c r="I78" s="86">
        <f t="shared" si="38"/>
        <v>0</v>
      </c>
      <c r="J78" s="86">
        <f t="shared" si="38"/>
        <v>0</v>
      </c>
      <c r="K78" s="86">
        <f t="shared" si="38"/>
        <v>0</v>
      </c>
      <c r="L78" s="86">
        <f t="shared" si="38"/>
        <v>1185721.1549159614</v>
      </c>
      <c r="M78" s="86">
        <f t="shared" si="38"/>
        <v>5106054.3759848159</v>
      </c>
      <c r="N78" s="86">
        <f t="shared" si="38"/>
        <v>9544027.5140546579</v>
      </c>
      <c r="O78" s="86">
        <f t="shared" si="38"/>
        <v>210345.0945537377</v>
      </c>
      <c r="P78" s="86">
        <f t="shared" si="38"/>
        <v>0</v>
      </c>
      <c r="Q78" s="86">
        <f t="shared" si="38"/>
        <v>0</v>
      </c>
      <c r="R78" s="86">
        <f t="shared" si="38"/>
        <v>-790820.73601993721</v>
      </c>
      <c r="S78" s="86">
        <f t="shared" si="38"/>
        <v>0</v>
      </c>
      <c r="T78" s="86">
        <f t="shared" si="38"/>
        <v>0</v>
      </c>
      <c r="U78" s="86">
        <f t="shared" si="38"/>
        <v>0</v>
      </c>
      <c r="V78" s="86">
        <f t="shared" si="38"/>
        <v>0</v>
      </c>
      <c r="W78" s="86">
        <f t="shared" si="38"/>
        <v>-349779.3146596264</v>
      </c>
      <c r="X78" s="86">
        <f t="shared" si="38"/>
        <v>0</v>
      </c>
      <c r="Y78" s="86">
        <f t="shared" si="38"/>
        <v>0</v>
      </c>
      <c r="Z78" s="86">
        <f t="shared" si="38"/>
        <v>0</v>
      </c>
      <c r="AA78" s="86">
        <f t="shared" si="38"/>
        <v>0</v>
      </c>
      <c r="AB78" s="86">
        <f t="shared" si="38"/>
        <v>0</v>
      </c>
      <c r="AC78" s="86">
        <f t="shared" si="38"/>
        <v>0</v>
      </c>
      <c r="AD78" s="86">
        <f t="shared" si="38"/>
        <v>0</v>
      </c>
      <c r="AE78" s="86">
        <f t="shared" si="38"/>
        <v>0</v>
      </c>
      <c r="AF78" s="86">
        <f t="shared" si="38"/>
        <v>0</v>
      </c>
      <c r="AG78" s="86">
        <f t="shared" si="38"/>
        <v>-286629.82802106754</v>
      </c>
      <c r="AH78" s="86">
        <f t="shared" si="38"/>
        <v>0</v>
      </c>
      <c r="AI78" s="86">
        <f t="shared" si="38"/>
        <v>0</v>
      </c>
      <c r="AJ78" s="86">
        <f t="shared" si="38"/>
        <v>0</v>
      </c>
      <c r="AK78" s="86">
        <f t="shared" si="38"/>
        <v>0</v>
      </c>
      <c r="AL78" s="86">
        <f t="shared" si="38"/>
        <v>0</v>
      </c>
      <c r="AM78" s="86">
        <f t="shared" si="38"/>
        <v>0</v>
      </c>
      <c r="AN78" s="86">
        <f t="shared" si="38"/>
        <v>0</v>
      </c>
      <c r="AO78" s="86">
        <f t="shared" si="38"/>
        <v>0</v>
      </c>
      <c r="AP78" s="86">
        <f t="shared" si="38"/>
        <v>0</v>
      </c>
      <c r="AQ78" s="86">
        <f t="shared" si="38"/>
        <v>0</v>
      </c>
      <c r="AR78" s="86">
        <f t="shared" si="38"/>
        <v>0</v>
      </c>
    </row>
  </sheetData>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560B5-B023-4DA3-B720-D819238E8F88}">
  <sheetPr>
    <tabColor theme="9"/>
  </sheetPr>
  <dimension ref="A1:AS46"/>
  <sheetViews>
    <sheetView workbookViewId="0">
      <pane xSplit="4" ySplit="11" topLeftCell="E12" activePane="bottomRight" state="frozen"/>
      <selection pane="bottomRight" activeCell="A2" sqref="A2"/>
      <selection pane="bottomLeft" activeCell="A12" sqref="A12"/>
      <selection pane="topRight" activeCell="E1" sqref="E1"/>
    </sheetView>
  </sheetViews>
  <sheetFormatPr defaultColWidth="0" defaultRowHeight="14.25"/>
  <cols>
    <col min="1" max="1" width="10.28515625" style="1" customWidth="1"/>
    <col min="2" max="2" width="32.5703125" style="1" bestFit="1" customWidth="1"/>
    <col min="3" max="3" width="15.42578125" style="1" bestFit="1" customWidth="1"/>
    <col min="4" max="4" width="17" style="1" bestFit="1" customWidth="1"/>
    <col min="5" max="5" width="1.5703125" style="1" customWidth="1"/>
    <col min="6" max="44" width="14.42578125" style="1" customWidth="1"/>
    <col min="45" max="45" width="9.140625" style="1" customWidth="1"/>
    <col min="46" max="16384" width="9.140625" style="1" hidden="1"/>
  </cols>
  <sheetData>
    <row r="1" spans="1:44" ht="19.5">
      <c r="A1" s="7" t="str">
        <f>Summary!$A$1</f>
        <v>Multimodal Improvements to Safely Connect Tulsa at US-75 and 81st Street Interchange</v>
      </c>
    </row>
    <row r="2" spans="1:44" ht="19.5">
      <c r="A2" s="7" t="s">
        <v>228</v>
      </c>
      <c r="C2" s="12"/>
    </row>
    <row r="3" spans="1:44">
      <c r="A3" s="55">
        <f ca="1">Summary!A3</f>
        <v>44984</v>
      </c>
      <c r="C3" s="12"/>
    </row>
    <row r="4" spans="1:44">
      <c r="A4" s="56" t="str">
        <f>Summary!A4</f>
        <v>All $ values 2021, unless otherwise noted</v>
      </c>
      <c r="C4" s="12"/>
    </row>
    <row r="5" spans="1:44">
      <c r="B5" s="70"/>
      <c r="C5" s="12"/>
    </row>
    <row r="6" spans="1:44">
      <c r="C6" s="1" t="s">
        <v>43</v>
      </c>
      <c r="D6" s="1" t="s">
        <v>44</v>
      </c>
    </row>
    <row r="7" spans="1:44" s="9" customFormat="1">
      <c r="A7" s="9" t="s">
        <v>204</v>
      </c>
      <c r="C7" s="293" t="s">
        <v>204</v>
      </c>
      <c r="F7" s="9">
        <f>Inputs!$E$12</f>
        <v>2018</v>
      </c>
      <c r="G7" s="9">
        <f>F7+1</f>
        <v>2019</v>
      </c>
      <c r="H7" s="9">
        <f t="shared" ref="H7:W8" si="0">G7+1</f>
        <v>2020</v>
      </c>
      <c r="I7" s="9">
        <f t="shared" si="0"/>
        <v>2021</v>
      </c>
      <c r="J7" s="9">
        <f t="shared" si="0"/>
        <v>2022</v>
      </c>
      <c r="K7" s="9">
        <f t="shared" si="0"/>
        <v>2023</v>
      </c>
      <c r="L7" s="9">
        <f t="shared" si="0"/>
        <v>2024</v>
      </c>
      <c r="M7" s="9">
        <f t="shared" si="0"/>
        <v>2025</v>
      </c>
      <c r="N7" s="9">
        <f t="shared" si="0"/>
        <v>2026</v>
      </c>
      <c r="O7" s="9">
        <f t="shared" si="0"/>
        <v>2027</v>
      </c>
      <c r="P7" s="9">
        <f t="shared" si="0"/>
        <v>2028</v>
      </c>
      <c r="Q7" s="9">
        <f t="shared" si="0"/>
        <v>2029</v>
      </c>
      <c r="R7" s="9">
        <f t="shared" si="0"/>
        <v>2030</v>
      </c>
      <c r="S7" s="9">
        <f t="shared" si="0"/>
        <v>2031</v>
      </c>
      <c r="T7" s="9">
        <f t="shared" si="0"/>
        <v>2032</v>
      </c>
      <c r="U7" s="9">
        <f t="shared" si="0"/>
        <v>2033</v>
      </c>
      <c r="V7" s="9">
        <f t="shared" si="0"/>
        <v>2034</v>
      </c>
      <c r="W7" s="9">
        <f t="shared" si="0"/>
        <v>2035</v>
      </c>
      <c r="X7" s="9">
        <f t="shared" ref="X7:AM8" si="1">W7+1</f>
        <v>2036</v>
      </c>
      <c r="Y7" s="9">
        <f t="shared" si="1"/>
        <v>2037</v>
      </c>
      <c r="Z7" s="9">
        <f t="shared" si="1"/>
        <v>2038</v>
      </c>
      <c r="AA7" s="9">
        <f t="shared" si="1"/>
        <v>2039</v>
      </c>
      <c r="AB7" s="9">
        <f t="shared" si="1"/>
        <v>2040</v>
      </c>
      <c r="AC7" s="9">
        <f t="shared" si="1"/>
        <v>2041</v>
      </c>
      <c r="AD7" s="9">
        <f t="shared" si="1"/>
        <v>2042</v>
      </c>
      <c r="AE7" s="9">
        <f t="shared" si="1"/>
        <v>2043</v>
      </c>
      <c r="AF7" s="9">
        <f t="shared" si="1"/>
        <v>2044</v>
      </c>
      <c r="AG7" s="9">
        <f t="shared" si="1"/>
        <v>2045</v>
      </c>
      <c r="AH7" s="9">
        <f t="shared" si="1"/>
        <v>2046</v>
      </c>
      <c r="AI7" s="9">
        <f t="shared" si="1"/>
        <v>2047</v>
      </c>
      <c r="AJ7" s="9">
        <f t="shared" si="1"/>
        <v>2048</v>
      </c>
      <c r="AK7" s="9">
        <f t="shared" si="1"/>
        <v>2049</v>
      </c>
      <c r="AL7" s="9">
        <f t="shared" si="1"/>
        <v>2050</v>
      </c>
      <c r="AM7" s="9">
        <f t="shared" si="1"/>
        <v>2051</v>
      </c>
      <c r="AN7" s="9">
        <f t="shared" ref="AN7:AR8" si="2">AM7+1</f>
        <v>2052</v>
      </c>
      <c r="AO7" s="9">
        <f t="shared" si="2"/>
        <v>2053</v>
      </c>
      <c r="AP7" s="9">
        <f t="shared" si="2"/>
        <v>2054</v>
      </c>
      <c r="AQ7" s="9">
        <f t="shared" si="2"/>
        <v>2055</v>
      </c>
      <c r="AR7" s="9">
        <f t="shared" si="2"/>
        <v>2056</v>
      </c>
    </row>
    <row r="8" spans="1:44">
      <c r="B8" s="1" t="s">
        <v>205</v>
      </c>
      <c r="C8" s="22" t="s">
        <v>49</v>
      </c>
      <c r="F8" s="1">
        <f>D8+1</f>
        <v>1</v>
      </c>
      <c r="G8" s="1">
        <f t="shared" ref="G8" si="3">F8+1</f>
        <v>2</v>
      </c>
      <c r="H8" s="1">
        <f t="shared" si="0"/>
        <v>3</v>
      </c>
      <c r="I8" s="1">
        <f t="shared" si="0"/>
        <v>4</v>
      </c>
      <c r="J8" s="1">
        <f t="shared" si="0"/>
        <v>5</v>
      </c>
      <c r="K8" s="1">
        <f t="shared" si="0"/>
        <v>6</v>
      </c>
      <c r="L8" s="1">
        <f t="shared" si="0"/>
        <v>7</v>
      </c>
      <c r="M8" s="1">
        <f t="shared" si="0"/>
        <v>8</v>
      </c>
      <c r="N8" s="1">
        <f t="shared" si="0"/>
        <v>9</v>
      </c>
      <c r="O8" s="1">
        <f t="shared" si="0"/>
        <v>10</v>
      </c>
      <c r="P8" s="1">
        <f t="shared" si="0"/>
        <v>11</v>
      </c>
      <c r="Q8" s="1">
        <f t="shared" si="0"/>
        <v>12</v>
      </c>
      <c r="R8" s="1">
        <f t="shared" si="0"/>
        <v>13</v>
      </c>
      <c r="S8" s="1">
        <f t="shared" si="0"/>
        <v>14</v>
      </c>
      <c r="T8" s="1">
        <f t="shared" si="0"/>
        <v>15</v>
      </c>
      <c r="U8" s="1">
        <f t="shared" si="0"/>
        <v>16</v>
      </c>
      <c r="V8" s="1">
        <f t="shared" si="0"/>
        <v>17</v>
      </c>
      <c r="W8" s="1">
        <f t="shared" si="0"/>
        <v>18</v>
      </c>
      <c r="X8" s="1">
        <f t="shared" si="1"/>
        <v>19</v>
      </c>
      <c r="Y8" s="1">
        <f t="shared" si="1"/>
        <v>20</v>
      </c>
      <c r="Z8" s="1">
        <f t="shared" si="1"/>
        <v>21</v>
      </c>
      <c r="AA8" s="1">
        <f t="shared" si="1"/>
        <v>22</v>
      </c>
      <c r="AB8" s="1">
        <f t="shared" si="1"/>
        <v>23</v>
      </c>
      <c r="AC8" s="1">
        <f t="shared" si="1"/>
        <v>24</v>
      </c>
      <c r="AD8" s="1">
        <f t="shared" si="1"/>
        <v>25</v>
      </c>
      <c r="AE8" s="1">
        <f t="shared" si="1"/>
        <v>26</v>
      </c>
      <c r="AF8" s="1">
        <f t="shared" si="1"/>
        <v>27</v>
      </c>
      <c r="AG8" s="1">
        <f t="shared" si="1"/>
        <v>28</v>
      </c>
      <c r="AH8" s="1">
        <f t="shared" si="1"/>
        <v>29</v>
      </c>
      <c r="AI8" s="1">
        <f t="shared" si="1"/>
        <v>30</v>
      </c>
      <c r="AJ8" s="1">
        <f t="shared" si="1"/>
        <v>31</v>
      </c>
      <c r="AK8" s="1">
        <f t="shared" si="1"/>
        <v>32</v>
      </c>
      <c r="AL8" s="1">
        <f t="shared" si="1"/>
        <v>33</v>
      </c>
      <c r="AM8" s="1">
        <f t="shared" si="1"/>
        <v>34</v>
      </c>
      <c r="AN8" s="1">
        <f t="shared" si="2"/>
        <v>35</v>
      </c>
      <c r="AO8" s="1">
        <f t="shared" si="2"/>
        <v>36</v>
      </c>
      <c r="AP8" s="1">
        <f t="shared" si="2"/>
        <v>37</v>
      </c>
      <c r="AQ8" s="1">
        <f t="shared" si="2"/>
        <v>38</v>
      </c>
      <c r="AR8" s="1">
        <f t="shared" si="2"/>
        <v>39</v>
      </c>
    </row>
    <row r="9" spans="1:44">
      <c r="B9" s="1" t="s">
        <v>206</v>
      </c>
      <c r="C9" s="22" t="s">
        <v>207</v>
      </c>
      <c r="F9" s="1">
        <f>IF(F7=Inputs!$E$13,1,0)</f>
        <v>0</v>
      </c>
      <c r="G9" s="1">
        <f>IF(G7=Inputs!$E$13,1,0)</f>
        <v>0</v>
      </c>
      <c r="H9" s="1">
        <f>IF(H7=Inputs!$E$13,1,0)</f>
        <v>0</v>
      </c>
      <c r="I9" s="1">
        <f>IF(I7=Inputs!$E$13,1,0)</f>
        <v>1</v>
      </c>
      <c r="J9" s="1">
        <f>IF(J7=Inputs!$E$13,1,0)</f>
        <v>0</v>
      </c>
      <c r="K9" s="1">
        <f>IF(K7=Inputs!$E$13,1,0)</f>
        <v>0</v>
      </c>
      <c r="L9" s="1">
        <f>IF(L7=Inputs!$E$13,1,0)</f>
        <v>0</v>
      </c>
      <c r="M9" s="1">
        <f>IF(M7=Inputs!$E$13,1,0)</f>
        <v>0</v>
      </c>
      <c r="N9" s="1">
        <f>IF(N7=Inputs!$E$13,1,0)</f>
        <v>0</v>
      </c>
      <c r="O9" s="1">
        <f>IF(O7=Inputs!$E$13,1,0)</f>
        <v>0</v>
      </c>
      <c r="P9" s="1">
        <f>IF(P7=Inputs!$E$13,1,0)</f>
        <v>0</v>
      </c>
      <c r="Q9" s="1">
        <f>IF(Q7=Inputs!$E$13,1,0)</f>
        <v>0</v>
      </c>
      <c r="R9" s="1">
        <f>IF(R7=Inputs!$E$13,1,0)</f>
        <v>0</v>
      </c>
      <c r="S9" s="1">
        <f>IF(S7=Inputs!$E$13,1,0)</f>
        <v>0</v>
      </c>
      <c r="T9" s="1">
        <f>IF(T7=Inputs!$E$13,1,0)</f>
        <v>0</v>
      </c>
      <c r="U9" s="1">
        <f>IF(U7=Inputs!$E$13,1,0)</f>
        <v>0</v>
      </c>
      <c r="V9" s="1">
        <f>IF(V7=Inputs!$E$13,1,0)</f>
        <v>0</v>
      </c>
      <c r="W9" s="1">
        <f>IF(W7=Inputs!$E$13,1,0)</f>
        <v>0</v>
      </c>
      <c r="X9" s="1">
        <f>IF(X7=Inputs!$E$13,1,0)</f>
        <v>0</v>
      </c>
      <c r="Y9" s="1">
        <f>IF(Y7=Inputs!$E$13,1,0)</f>
        <v>0</v>
      </c>
      <c r="Z9" s="1">
        <f>IF(Z7=Inputs!$E$13,1,0)</f>
        <v>0</v>
      </c>
      <c r="AA9" s="1">
        <f>IF(AA7=Inputs!$E$13,1,0)</f>
        <v>0</v>
      </c>
      <c r="AB9" s="1">
        <f>IF(AB7=Inputs!$E$13,1,0)</f>
        <v>0</v>
      </c>
      <c r="AC9" s="1">
        <f>IF(AC7=Inputs!$E$13,1,0)</f>
        <v>0</v>
      </c>
      <c r="AD9" s="1">
        <f>IF(AD7=Inputs!$E$13,1,0)</f>
        <v>0</v>
      </c>
      <c r="AE9" s="1">
        <f>IF(AE7=Inputs!$E$13,1,0)</f>
        <v>0</v>
      </c>
      <c r="AF9" s="1">
        <f>IF(AF7=Inputs!$E$13,1,0)</f>
        <v>0</v>
      </c>
      <c r="AG9" s="1">
        <f>IF(AG7=Inputs!$E$13,1,0)</f>
        <v>0</v>
      </c>
      <c r="AH9" s="1">
        <f>IF(AH7=Inputs!$E$13,1,0)</f>
        <v>0</v>
      </c>
      <c r="AI9" s="1">
        <f>IF(AI7=Inputs!$E$13,1,0)</f>
        <v>0</v>
      </c>
      <c r="AJ9" s="1">
        <f>IF(AJ7=Inputs!$E$13,1,0)</f>
        <v>0</v>
      </c>
      <c r="AK9" s="1">
        <f>IF(AK7=Inputs!$E$13,1,0)</f>
        <v>0</v>
      </c>
      <c r="AL9" s="1">
        <f>IF(AL7=Inputs!$E$13,1,0)</f>
        <v>0</v>
      </c>
      <c r="AM9" s="1">
        <f>IF(AM7=Inputs!$E$13,1,0)</f>
        <v>0</v>
      </c>
      <c r="AN9" s="1">
        <f>IF(AN7=Inputs!$E$13,1,0)</f>
        <v>0</v>
      </c>
      <c r="AO9" s="1">
        <f>IF(AO7=Inputs!$E$13,1,0)</f>
        <v>0</v>
      </c>
      <c r="AP9" s="1">
        <f>IF(AP7=Inputs!$E$13,1,0)</f>
        <v>0</v>
      </c>
      <c r="AQ9" s="1">
        <f>IF(AQ7=Inputs!$E$13,1,0)</f>
        <v>0</v>
      </c>
      <c r="AR9" s="1">
        <f>IF(AR7=Inputs!$E$13,1,0)</f>
        <v>0</v>
      </c>
    </row>
    <row r="10" spans="1:44">
      <c r="B10" s="1" t="s">
        <v>208</v>
      </c>
      <c r="C10" s="22" t="s">
        <v>56</v>
      </c>
      <c r="F10" s="1">
        <f t="shared" ref="F10:H10" si="4">F7-$I$7+1</f>
        <v>-2</v>
      </c>
      <c r="G10" s="1">
        <f t="shared" si="4"/>
        <v>-1</v>
      </c>
      <c r="H10" s="1">
        <f t="shared" si="4"/>
        <v>0</v>
      </c>
      <c r="I10" s="1">
        <f>I7-$I$7+1</f>
        <v>1</v>
      </c>
      <c r="J10" s="1">
        <f t="shared" ref="J10:AR10" si="5">J7-$I$7+1</f>
        <v>2</v>
      </c>
      <c r="K10" s="1">
        <f t="shared" si="5"/>
        <v>3</v>
      </c>
      <c r="L10" s="1">
        <f t="shared" si="5"/>
        <v>4</v>
      </c>
      <c r="M10" s="1">
        <f t="shared" si="5"/>
        <v>5</v>
      </c>
      <c r="N10" s="1">
        <f t="shared" si="5"/>
        <v>6</v>
      </c>
      <c r="O10" s="1">
        <f t="shared" si="5"/>
        <v>7</v>
      </c>
      <c r="P10" s="1">
        <f t="shared" si="5"/>
        <v>8</v>
      </c>
      <c r="Q10" s="1">
        <f t="shared" si="5"/>
        <v>9</v>
      </c>
      <c r="R10" s="1">
        <f t="shared" si="5"/>
        <v>10</v>
      </c>
      <c r="S10" s="1">
        <f t="shared" si="5"/>
        <v>11</v>
      </c>
      <c r="T10" s="1">
        <f t="shared" si="5"/>
        <v>12</v>
      </c>
      <c r="U10" s="1">
        <f t="shared" si="5"/>
        <v>13</v>
      </c>
      <c r="V10" s="1">
        <f t="shared" si="5"/>
        <v>14</v>
      </c>
      <c r="W10" s="1">
        <f t="shared" si="5"/>
        <v>15</v>
      </c>
      <c r="X10" s="1">
        <f t="shared" si="5"/>
        <v>16</v>
      </c>
      <c r="Y10" s="1">
        <f t="shared" si="5"/>
        <v>17</v>
      </c>
      <c r="Z10" s="1">
        <f t="shared" si="5"/>
        <v>18</v>
      </c>
      <c r="AA10" s="1">
        <f t="shared" si="5"/>
        <v>19</v>
      </c>
      <c r="AB10" s="1">
        <f t="shared" si="5"/>
        <v>20</v>
      </c>
      <c r="AC10" s="1">
        <f t="shared" si="5"/>
        <v>21</v>
      </c>
      <c r="AD10" s="1">
        <f t="shared" si="5"/>
        <v>22</v>
      </c>
      <c r="AE10" s="1">
        <f t="shared" si="5"/>
        <v>23</v>
      </c>
      <c r="AF10" s="1">
        <f t="shared" si="5"/>
        <v>24</v>
      </c>
      <c r="AG10" s="1">
        <f t="shared" si="5"/>
        <v>25</v>
      </c>
      <c r="AH10" s="1">
        <f t="shared" si="5"/>
        <v>26</v>
      </c>
      <c r="AI10" s="1">
        <f t="shared" si="5"/>
        <v>27</v>
      </c>
      <c r="AJ10" s="1">
        <f t="shared" si="5"/>
        <v>28</v>
      </c>
      <c r="AK10" s="1">
        <f t="shared" si="5"/>
        <v>29</v>
      </c>
      <c r="AL10" s="1">
        <f t="shared" si="5"/>
        <v>30</v>
      </c>
      <c r="AM10" s="1">
        <f t="shared" si="5"/>
        <v>31</v>
      </c>
      <c r="AN10" s="1">
        <f t="shared" si="5"/>
        <v>32</v>
      </c>
      <c r="AO10" s="1">
        <f t="shared" si="5"/>
        <v>33</v>
      </c>
      <c r="AP10" s="1">
        <f t="shared" si="5"/>
        <v>34</v>
      </c>
      <c r="AQ10" s="1">
        <f t="shared" si="5"/>
        <v>35</v>
      </c>
      <c r="AR10" s="1">
        <f t="shared" si="5"/>
        <v>36</v>
      </c>
    </row>
    <row r="11" spans="1:44">
      <c r="B11" s="1" t="s">
        <v>209</v>
      </c>
      <c r="C11" s="22" t="s">
        <v>207</v>
      </c>
      <c r="F11" s="1">
        <f>IF(AND(F7&gt;=Inputs!$E$17,F7&lt;Inputs!$E$21),1,0)</f>
        <v>0</v>
      </c>
      <c r="G11" s="1">
        <f>IF(AND(G7&gt;=Inputs!$E$17,G7&lt;Inputs!$E$21),1,0)</f>
        <v>0</v>
      </c>
      <c r="H11" s="1">
        <f>IF(AND(H7&gt;=Inputs!$E$17,H7&lt;Inputs!$E$21),1,0)</f>
        <v>0</v>
      </c>
      <c r="I11" s="1">
        <f>IF(AND(I7&gt;=Inputs!$E$17,I7&lt;Inputs!$E$21),1,0)</f>
        <v>0</v>
      </c>
      <c r="J11" s="1">
        <f>IF(AND(J7&gt;=Inputs!$E$17,J7&lt;Inputs!$E$21),1,0)</f>
        <v>0</v>
      </c>
      <c r="K11" s="1">
        <f>IF(AND(K7&gt;=Inputs!$E$17,K7&lt;Inputs!$E$21),1,0)</f>
        <v>0</v>
      </c>
      <c r="L11" s="1">
        <f>IF(AND(L7&gt;=Inputs!$E$17,L7&lt;Inputs!$E$21),1,0)</f>
        <v>0</v>
      </c>
      <c r="M11" s="1">
        <f>IF(AND(M7&gt;=Inputs!$E$17,M7&lt;Inputs!$E$21),1,0)</f>
        <v>0</v>
      </c>
      <c r="N11" s="1">
        <f>IF(AND(N7&gt;=Inputs!$E$17,N7&lt;Inputs!$E$21),1,0)</f>
        <v>0</v>
      </c>
      <c r="O11" s="1">
        <f>IF(AND(O7&gt;=Inputs!$E$17,O7&lt;Inputs!$E$21),1,0)</f>
        <v>1</v>
      </c>
      <c r="P11" s="1">
        <f>IF(AND(P7&gt;=Inputs!$E$17,P7&lt;Inputs!$E$21),1,0)</f>
        <v>1</v>
      </c>
      <c r="Q11" s="1">
        <f>IF(AND(Q7&gt;=Inputs!$E$17,Q7&lt;Inputs!$E$21),1,0)</f>
        <v>1</v>
      </c>
      <c r="R11" s="1">
        <f>IF(AND(R7&gt;=Inputs!$E$17,R7&lt;Inputs!$E$21),1,0)</f>
        <v>1</v>
      </c>
      <c r="S11" s="1">
        <f>IF(AND(S7&gt;=Inputs!$E$17,S7&lt;Inputs!$E$21),1,0)</f>
        <v>1</v>
      </c>
      <c r="T11" s="1">
        <f>IF(AND(T7&gt;=Inputs!$E$17,T7&lt;Inputs!$E$21),1,0)</f>
        <v>1</v>
      </c>
      <c r="U11" s="1">
        <f>IF(AND(U7&gt;=Inputs!$E$17,U7&lt;Inputs!$E$21),1,0)</f>
        <v>1</v>
      </c>
      <c r="V11" s="1">
        <f>IF(AND(V7&gt;=Inputs!$E$17,V7&lt;Inputs!$E$21),1,0)</f>
        <v>1</v>
      </c>
      <c r="W11" s="1">
        <f>IF(AND(W7&gt;=Inputs!$E$17,W7&lt;Inputs!$E$21),1,0)</f>
        <v>1</v>
      </c>
      <c r="X11" s="1">
        <f>IF(AND(X7&gt;=Inputs!$E$17,X7&lt;Inputs!$E$21),1,0)</f>
        <v>1</v>
      </c>
      <c r="Y11" s="1">
        <f>IF(AND(Y7&gt;=Inputs!$E$17,Y7&lt;Inputs!$E$21),1,0)</f>
        <v>1</v>
      </c>
      <c r="Z11" s="1">
        <f>IF(AND(Z7&gt;=Inputs!$E$17,Z7&lt;Inputs!$E$21),1,0)</f>
        <v>1</v>
      </c>
      <c r="AA11" s="1">
        <f>IF(AND(AA7&gt;=Inputs!$E$17,AA7&lt;Inputs!$E$21),1,0)</f>
        <v>1</v>
      </c>
      <c r="AB11" s="1">
        <f>IF(AND(AB7&gt;=Inputs!$E$17,AB7&lt;Inputs!$E$21),1,0)</f>
        <v>1</v>
      </c>
      <c r="AC11" s="1">
        <f>IF(AND(AC7&gt;=Inputs!$E$17,AC7&lt;Inputs!$E$21),1,0)</f>
        <v>1</v>
      </c>
      <c r="AD11" s="1">
        <f>IF(AND(AD7&gt;=Inputs!$E$17,AD7&lt;Inputs!$E$21),1,0)</f>
        <v>1</v>
      </c>
      <c r="AE11" s="1">
        <f>IF(AND(AE7&gt;=Inputs!$E$17,AE7&lt;Inputs!$E$21),1,0)</f>
        <v>1</v>
      </c>
      <c r="AF11" s="1">
        <f>IF(AND(AF7&gt;=Inputs!$E$17,AF7&lt;Inputs!$E$21),1,0)</f>
        <v>1</v>
      </c>
      <c r="AG11" s="1">
        <f>IF(AND(AG7&gt;=Inputs!$E$17,AG7&lt;Inputs!$E$21),1,0)</f>
        <v>1</v>
      </c>
      <c r="AH11" s="1">
        <f>IF(AND(AH7&gt;=Inputs!$E$17,AH7&lt;Inputs!$E$21),1,0)</f>
        <v>1</v>
      </c>
      <c r="AI11" s="1">
        <f>IF(AND(AI7&gt;=Inputs!$E$17,AI7&lt;Inputs!$E$21),1,0)</f>
        <v>0</v>
      </c>
      <c r="AJ11" s="1">
        <f>IF(AND(AJ7&gt;=Inputs!$E$17,AJ7&lt;Inputs!$E$21),1,0)</f>
        <v>0</v>
      </c>
      <c r="AK11" s="1">
        <f>IF(AND(AK7&gt;=Inputs!$E$17,AK7&lt;Inputs!$E$21),1,0)</f>
        <v>0</v>
      </c>
      <c r="AL11" s="1">
        <f>IF(AND(AL7&gt;=Inputs!$E$17,AL7&lt;Inputs!$E$21),1,0)</f>
        <v>0</v>
      </c>
      <c r="AM11" s="1">
        <f>IF(AND(AM7&gt;=Inputs!$E$17,AM7&lt;Inputs!$E$21),1,0)</f>
        <v>0</v>
      </c>
      <c r="AN11" s="1">
        <f>IF(AND(AN7&gt;=Inputs!$E$17,AN7&lt;Inputs!$E$21),1,0)</f>
        <v>0</v>
      </c>
      <c r="AO11" s="1">
        <f>IF(AND(AO7&gt;=Inputs!$E$17,AO7&lt;Inputs!$E$21),1,0)</f>
        <v>0</v>
      </c>
      <c r="AP11" s="1">
        <f>IF(AND(AP7&gt;=Inputs!$E$17,AP7&lt;Inputs!$E$21),1,0)</f>
        <v>0</v>
      </c>
      <c r="AQ11" s="1">
        <f>IF(AND(AQ7&gt;=Inputs!$E$17,AQ7&lt;Inputs!$E$21),1,0)</f>
        <v>0</v>
      </c>
      <c r="AR11" s="1">
        <f>IF(AND(AR7&gt;=Inputs!$E$17,AR7&lt;Inputs!$E$21),1,0)</f>
        <v>0</v>
      </c>
    </row>
    <row r="12" spans="1:44" ht="15">
      <c r="A12" s="2" t="s">
        <v>210</v>
      </c>
      <c r="C12" s="22"/>
    </row>
    <row r="13" spans="1:44">
      <c r="B13" s="1" t="s">
        <v>211</v>
      </c>
      <c r="C13" s="22" t="s">
        <v>49</v>
      </c>
      <c r="F13" s="1">
        <f>(F11+D13)*F11</f>
        <v>0</v>
      </c>
      <c r="G13" s="1">
        <f t="shared" ref="G13:AG13" si="6">(G11+F13)*G11</f>
        <v>0</v>
      </c>
      <c r="H13" s="1">
        <f t="shared" si="6"/>
        <v>0</v>
      </c>
      <c r="I13" s="1">
        <f t="shared" si="6"/>
        <v>0</v>
      </c>
      <c r="J13" s="1">
        <f t="shared" si="6"/>
        <v>0</v>
      </c>
      <c r="K13" s="1">
        <f t="shared" si="6"/>
        <v>0</v>
      </c>
      <c r="L13" s="1">
        <f t="shared" si="6"/>
        <v>0</v>
      </c>
      <c r="M13" s="1">
        <f t="shared" si="6"/>
        <v>0</v>
      </c>
      <c r="N13" s="1">
        <f t="shared" si="6"/>
        <v>0</v>
      </c>
      <c r="O13" s="1">
        <f t="shared" si="6"/>
        <v>1</v>
      </c>
      <c r="P13" s="1">
        <f t="shared" si="6"/>
        <v>2</v>
      </c>
      <c r="Q13" s="1">
        <f t="shared" si="6"/>
        <v>3</v>
      </c>
      <c r="R13" s="1">
        <f t="shared" si="6"/>
        <v>4</v>
      </c>
      <c r="S13" s="1">
        <f t="shared" si="6"/>
        <v>5</v>
      </c>
      <c r="T13" s="1">
        <f t="shared" si="6"/>
        <v>6</v>
      </c>
      <c r="U13" s="1">
        <f t="shared" si="6"/>
        <v>7</v>
      </c>
      <c r="V13" s="1">
        <f t="shared" si="6"/>
        <v>8</v>
      </c>
      <c r="W13" s="1">
        <f t="shared" si="6"/>
        <v>9</v>
      </c>
      <c r="X13" s="1">
        <f t="shared" si="6"/>
        <v>10</v>
      </c>
      <c r="Y13" s="1">
        <f t="shared" si="6"/>
        <v>11</v>
      </c>
      <c r="Z13" s="1">
        <f t="shared" si="6"/>
        <v>12</v>
      </c>
      <c r="AA13" s="1">
        <f t="shared" si="6"/>
        <v>13</v>
      </c>
      <c r="AB13" s="1">
        <f t="shared" si="6"/>
        <v>14</v>
      </c>
      <c r="AC13" s="1">
        <f t="shared" si="6"/>
        <v>15</v>
      </c>
      <c r="AD13" s="1">
        <f t="shared" si="6"/>
        <v>16</v>
      </c>
      <c r="AE13" s="1">
        <f t="shared" si="6"/>
        <v>17</v>
      </c>
      <c r="AF13" s="1">
        <f t="shared" si="6"/>
        <v>18</v>
      </c>
      <c r="AG13" s="1">
        <f t="shared" si="6"/>
        <v>19</v>
      </c>
      <c r="AH13" s="1">
        <f>(AH11+AG13)*AH11</f>
        <v>20</v>
      </c>
      <c r="AI13" s="1">
        <f t="shared" ref="AI13:AR13" si="7">(AI11+AH13)*AI11</f>
        <v>0</v>
      </c>
      <c r="AJ13" s="1">
        <f t="shared" si="7"/>
        <v>0</v>
      </c>
      <c r="AK13" s="1">
        <f t="shared" si="7"/>
        <v>0</v>
      </c>
      <c r="AL13" s="1">
        <f t="shared" si="7"/>
        <v>0</v>
      </c>
      <c r="AM13" s="1">
        <f t="shared" si="7"/>
        <v>0</v>
      </c>
      <c r="AN13" s="1">
        <f t="shared" si="7"/>
        <v>0</v>
      </c>
      <c r="AO13" s="1">
        <f t="shared" si="7"/>
        <v>0</v>
      </c>
      <c r="AP13" s="1">
        <f t="shared" si="7"/>
        <v>0</v>
      </c>
      <c r="AQ13" s="1">
        <f t="shared" si="7"/>
        <v>0</v>
      </c>
      <c r="AR13" s="1">
        <f t="shared" si="7"/>
        <v>0</v>
      </c>
    </row>
    <row r="14" spans="1:44">
      <c r="C14" s="21"/>
    </row>
    <row r="15" spans="1:44">
      <c r="B15" s="1" t="s">
        <v>212</v>
      </c>
      <c r="C15" s="1" t="s">
        <v>43</v>
      </c>
      <c r="D15" s="1" t="s">
        <v>44</v>
      </c>
    </row>
    <row r="16" spans="1:44" s="9" customFormat="1">
      <c r="A16" s="8" t="s">
        <v>229</v>
      </c>
    </row>
    <row r="17" spans="1:44" ht="15">
      <c r="A17" s="2" t="s">
        <v>230</v>
      </c>
      <c r="C17" s="21"/>
    </row>
    <row r="18" spans="1:44" ht="15">
      <c r="A18" s="2"/>
      <c r="B18" s="1" t="s">
        <v>99</v>
      </c>
      <c r="C18" s="22" t="s">
        <v>49</v>
      </c>
      <c r="D18" s="1">
        <f>Inputs!$E$48</f>
        <v>2023</v>
      </c>
    </row>
    <row r="19" spans="1:44" ht="15">
      <c r="A19" s="2"/>
      <c r="B19" s="1" t="s">
        <v>100</v>
      </c>
      <c r="C19" s="22" t="s">
        <v>101</v>
      </c>
      <c r="D19" s="19">
        <f>Inputs!$E$49</f>
        <v>19720</v>
      </c>
      <c r="F19" s="19">
        <f t="shared" ref="F19:AR19" si="8">IF(F7=$D$18,$D$19,0)</f>
        <v>0</v>
      </c>
      <c r="G19" s="19">
        <f t="shared" si="8"/>
        <v>0</v>
      </c>
      <c r="H19" s="19">
        <f t="shared" si="8"/>
        <v>0</v>
      </c>
      <c r="I19" s="19">
        <f t="shared" si="8"/>
        <v>0</v>
      </c>
      <c r="J19" s="19">
        <f t="shared" si="8"/>
        <v>0</v>
      </c>
      <c r="K19" s="19">
        <f t="shared" si="8"/>
        <v>19720</v>
      </c>
      <c r="L19" s="19">
        <f t="shared" si="8"/>
        <v>0</v>
      </c>
      <c r="M19" s="19">
        <f t="shared" si="8"/>
        <v>0</v>
      </c>
      <c r="N19" s="19">
        <f t="shared" si="8"/>
        <v>0</v>
      </c>
      <c r="O19" s="19">
        <f t="shared" si="8"/>
        <v>0</v>
      </c>
      <c r="P19" s="19">
        <f t="shared" si="8"/>
        <v>0</v>
      </c>
      <c r="Q19" s="19">
        <f t="shared" si="8"/>
        <v>0</v>
      </c>
      <c r="R19" s="19">
        <f t="shared" si="8"/>
        <v>0</v>
      </c>
      <c r="S19" s="19">
        <f t="shared" si="8"/>
        <v>0</v>
      </c>
      <c r="T19" s="19">
        <f t="shared" si="8"/>
        <v>0</v>
      </c>
      <c r="U19" s="19">
        <f t="shared" si="8"/>
        <v>0</v>
      </c>
      <c r="V19" s="19">
        <f t="shared" si="8"/>
        <v>0</v>
      </c>
      <c r="W19" s="19">
        <f t="shared" si="8"/>
        <v>0</v>
      </c>
      <c r="X19" s="19">
        <f t="shared" si="8"/>
        <v>0</v>
      </c>
      <c r="Y19" s="19">
        <f t="shared" si="8"/>
        <v>0</v>
      </c>
      <c r="Z19" s="19">
        <f t="shared" si="8"/>
        <v>0</v>
      </c>
      <c r="AA19" s="19">
        <f t="shared" si="8"/>
        <v>0</v>
      </c>
      <c r="AB19" s="19">
        <f t="shared" si="8"/>
        <v>0</v>
      </c>
      <c r="AC19" s="19">
        <f t="shared" si="8"/>
        <v>0</v>
      </c>
      <c r="AD19" s="19">
        <f t="shared" si="8"/>
        <v>0</v>
      </c>
      <c r="AE19" s="19">
        <f t="shared" si="8"/>
        <v>0</v>
      </c>
      <c r="AF19" s="19">
        <f t="shared" si="8"/>
        <v>0</v>
      </c>
      <c r="AG19" s="19">
        <f t="shared" si="8"/>
        <v>0</v>
      </c>
      <c r="AH19" s="19">
        <f t="shared" si="8"/>
        <v>0</v>
      </c>
      <c r="AI19" s="19">
        <f t="shared" si="8"/>
        <v>0</v>
      </c>
      <c r="AJ19" s="19">
        <f t="shared" si="8"/>
        <v>0</v>
      </c>
      <c r="AK19" s="19">
        <f t="shared" si="8"/>
        <v>0</v>
      </c>
      <c r="AL19" s="19">
        <f t="shared" si="8"/>
        <v>0</v>
      </c>
      <c r="AM19" s="19">
        <f t="shared" si="8"/>
        <v>0</v>
      </c>
      <c r="AN19" s="19">
        <f t="shared" si="8"/>
        <v>0</v>
      </c>
      <c r="AO19" s="19">
        <f t="shared" si="8"/>
        <v>0</v>
      </c>
      <c r="AP19" s="19">
        <f t="shared" si="8"/>
        <v>0</v>
      </c>
      <c r="AQ19" s="19">
        <f t="shared" si="8"/>
        <v>0</v>
      </c>
      <c r="AR19" s="19">
        <f t="shared" si="8"/>
        <v>0</v>
      </c>
    </row>
    <row r="20" spans="1:44" ht="15">
      <c r="A20" s="2"/>
      <c r="B20" s="1" t="s">
        <v>102</v>
      </c>
      <c r="C20" s="22" t="s">
        <v>49</v>
      </c>
      <c r="D20" s="1">
        <f>Inputs!$E$50</f>
        <v>2046</v>
      </c>
    </row>
    <row r="21" spans="1:44" ht="15">
      <c r="A21" s="2"/>
      <c r="B21" s="1" t="s">
        <v>103</v>
      </c>
      <c r="C21" s="22" t="s">
        <v>101</v>
      </c>
      <c r="D21" s="19">
        <f>Inputs!$E$51</f>
        <v>28828</v>
      </c>
      <c r="F21" s="19">
        <f t="shared" ref="F21:AR21" si="9">IF(F7=$D$20,$D$21,0)</f>
        <v>0</v>
      </c>
      <c r="G21" s="19">
        <f t="shared" si="9"/>
        <v>0</v>
      </c>
      <c r="H21" s="19">
        <f t="shared" si="9"/>
        <v>0</v>
      </c>
      <c r="I21" s="19">
        <f t="shared" si="9"/>
        <v>0</v>
      </c>
      <c r="J21" s="19">
        <f t="shared" si="9"/>
        <v>0</v>
      </c>
      <c r="K21" s="19">
        <f t="shared" si="9"/>
        <v>0</v>
      </c>
      <c r="L21" s="19">
        <f t="shared" si="9"/>
        <v>0</v>
      </c>
      <c r="M21" s="19">
        <f t="shared" si="9"/>
        <v>0</v>
      </c>
      <c r="N21" s="19">
        <f t="shared" si="9"/>
        <v>0</v>
      </c>
      <c r="O21" s="19">
        <f t="shared" si="9"/>
        <v>0</v>
      </c>
      <c r="P21" s="19">
        <f t="shared" si="9"/>
        <v>0</v>
      </c>
      <c r="Q21" s="19">
        <f t="shared" si="9"/>
        <v>0</v>
      </c>
      <c r="R21" s="19">
        <f t="shared" si="9"/>
        <v>0</v>
      </c>
      <c r="S21" s="19">
        <f t="shared" si="9"/>
        <v>0</v>
      </c>
      <c r="T21" s="19">
        <f t="shared" si="9"/>
        <v>0</v>
      </c>
      <c r="U21" s="19">
        <f t="shared" si="9"/>
        <v>0</v>
      </c>
      <c r="V21" s="19">
        <f t="shared" si="9"/>
        <v>0</v>
      </c>
      <c r="W21" s="19">
        <f t="shared" si="9"/>
        <v>0</v>
      </c>
      <c r="X21" s="19">
        <f t="shared" si="9"/>
        <v>0</v>
      </c>
      <c r="Y21" s="19">
        <f t="shared" si="9"/>
        <v>0</v>
      </c>
      <c r="Z21" s="19">
        <f t="shared" si="9"/>
        <v>0</v>
      </c>
      <c r="AA21" s="19">
        <f t="shared" si="9"/>
        <v>0</v>
      </c>
      <c r="AB21" s="19">
        <f t="shared" si="9"/>
        <v>0</v>
      </c>
      <c r="AC21" s="19">
        <f t="shared" si="9"/>
        <v>0</v>
      </c>
      <c r="AD21" s="19">
        <f t="shared" si="9"/>
        <v>0</v>
      </c>
      <c r="AE21" s="19">
        <f t="shared" si="9"/>
        <v>0</v>
      </c>
      <c r="AF21" s="19">
        <f t="shared" si="9"/>
        <v>0</v>
      </c>
      <c r="AG21" s="19">
        <f t="shared" si="9"/>
        <v>0</v>
      </c>
      <c r="AH21" s="19">
        <f t="shared" si="9"/>
        <v>28828</v>
      </c>
      <c r="AI21" s="19">
        <f t="shared" si="9"/>
        <v>0</v>
      </c>
      <c r="AJ21" s="19">
        <f t="shared" si="9"/>
        <v>0</v>
      </c>
      <c r="AK21" s="19">
        <f t="shared" si="9"/>
        <v>0</v>
      </c>
      <c r="AL21" s="19">
        <f t="shared" si="9"/>
        <v>0</v>
      </c>
      <c r="AM21" s="19">
        <f t="shared" si="9"/>
        <v>0</v>
      </c>
      <c r="AN21" s="19">
        <f t="shared" si="9"/>
        <v>0</v>
      </c>
      <c r="AO21" s="19">
        <f t="shared" si="9"/>
        <v>0</v>
      </c>
      <c r="AP21" s="19">
        <f t="shared" si="9"/>
        <v>0</v>
      </c>
      <c r="AQ21" s="19">
        <f t="shared" si="9"/>
        <v>0</v>
      </c>
      <c r="AR21" s="19">
        <f t="shared" si="9"/>
        <v>0</v>
      </c>
    </row>
    <row r="22" spans="1:44" ht="15">
      <c r="A22" s="2"/>
      <c r="B22" s="1" t="s">
        <v>231</v>
      </c>
      <c r="C22" s="22" t="s">
        <v>66</v>
      </c>
      <c r="D22" s="311">
        <f>(D21/D19)^(1/(D20-D18))-1</f>
        <v>1.6646326597385075E-2</v>
      </c>
    </row>
    <row r="23" spans="1:44" ht="15">
      <c r="A23" s="2"/>
      <c r="B23" s="1" t="s">
        <v>232</v>
      </c>
      <c r="C23" s="22" t="s">
        <v>49</v>
      </c>
      <c r="D23" s="1">
        <f>F7</f>
        <v>2018</v>
      </c>
    </row>
    <row r="24" spans="1:44" ht="15">
      <c r="A24" s="2"/>
      <c r="B24" s="1" t="s">
        <v>233</v>
      </c>
      <c r="C24" s="22" t="s">
        <v>101</v>
      </c>
      <c r="D24" s="86">
        <f>D19*1/(1+D22)^(D18-D23)</f>
        <v>18157.5576510354</v>
      </c>
      <c r="F24" s="19">
        <f t="shared" ref="F24:AR24" si="10">IF(F7=$D$23,$D$24,0)</f>
        <v>18157.5576510354</v>
      </c>
      <c r="G24" s="19">
        <f t="shared" si="10"/>
        <v>0</v>
      </c>
      <c r="H24" s="19">
        <f t="shared" si="10"/>
        <v>0</v>
      </c>
      <c r="I24" s="19">
        <f t="shared" si="10"/>
        <v>0</v>
      </c>
      <c r="J24" s="19">
        <f t="shared" si="10"/>
        <v>0</v>
      </c>
      <c r="K24" s="19">
        <f t="shared" si="10"/>
        <v>0</v>
      </c>
      <c r="L24" s="19">
        <f t="shared" si="10"/>
        <v>0</v>
      </c>
      <c r="M24" s="19">
        <f t="shared" si="10"/>
        <v>0</v>
      </c>
      <c r="N24" s="19">
        <f t="shared" si="10"/>
        <v>0</v>
      </c>
      <c r="O24" s="19">
        <f t="shared" si="10"/>
        <v>0</v>
      </c>
      <c r="P24" s="19">
        <f t="shared" si="10"/>
        <v>0</v>
      </c>
      <c r="Q24" s="19">
        <f t="shared" si="10"/>
        <v>0</v>
      </c>
      <c r="R24" s="19">
        <f t="shared" si="10"/>
        <v>0</v>
      </c>
      <c r="S24" s="19">
        <f t="shared" si="10"/>
        <v>0</v>
      </c>
      <c r="T24" s="19">
        <f t="shared" si="10"/>
        <v>0</v>
      </c>
      <c r="U24" s="19">
        <f t="shared" si="10"/>
        <v>0</v>
      </c>
      <c r="V24" s="19">
        <f t="shared" si="10"/>
        <v>0</v>
      </c>
      <c r="W24" s="19">
        <f t="shared" si="10"/>
        <v>0</v>
      </c>
      <c r="X24" s="19">
        <f t="shared" si="10"/>
        <v>0</v>
      </c>
      <c r="Y24" s="19">
        <f t="shared" si="10"/>
        <v>0</v>
      </c>
      <c r="Z24" s="19">
        <f t="shared" si="10"/>
        <v>0</v>
      </c>
      <c r="AA24" s="19">
        <f t="shared" si="10"/>
        <v>0</v>
      </c>
      <c r="AB24" s="19">
        <f t="shared" si="10"/>
        <v>0</v>
      </c>
      <c r="AC24" s="19">
        <f t="shared" si="10"/>
        <v>0</v>
      </c>
      <c r="AD24" s="19">
        <f t="shared" si="10"/>
        <v>0</v>
      </c>
      <c r="AE24" s="19">
        <f t="shared" si="10"/>
        <v>0</v>
      </c>
      <c r="AF24" s="19">
        <f t="shared" si="10"/>
        <v>0</v>
      </c>
      <c r="AG24" s="19">
        <f t="shared" si="10"/>
        <v>0</v>
      </c>
      <c r="AH24" s="19">
        <f t="shared" si="10"/>
        <v>0</v>
      </c>
      <c r="AI24" s="19">
        <f t="shared" si="10"/>
        <v>0</v>
      </c>
      <c r="AJ24" s="19">
        <f t="shared" si="10"/>
        <v>0</v>
      </c>
      <c r="AK24" s="19">
        <f t="shared" si="10"/>
        <v>0</v>
      </c>
      <c r="AL24" s="19">
        <f t="shared" si="10"/>
        <v>0</v>
      </c>
      <c r="AM24" s="19">
        <f t="shared" si="10"/>
        <v>0</v>
      </c>
      <c r="AN24" s="19">
        <f t="shared" si="10"/>
        <v>0</v>
      </c>
      <c r="AO24" s="19">
        <f t="shared" si="10"/>
        <v>0</v>
      </c>
      <c r="AP24" s="19">
        <f t="shared" si="10"/>
        <v>0</v>
      </c>
      <c r="AQ24" s="19">
        <f t="shared" si="10"/>
        <v>0</v>
      </c>
      <c r="AR24" s="19">
        <f t="shared" si="10"/>
        <v>0</v>
      </c>
    </row>
    <row r="25" spans="1:44" ht="15">
      <c r="A25" s="2"/>
      <c r="B25" s="1" t="s">
        <v>97</v>
      </c>
      <c r="C25" s="292" t="s">
        <v>66</v>
      </c>
      <c r="D25" s="73">
        <f>Inputs!$E$47</f>
        <v>0.03</v>
      </c>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row>
    <row r="26" spans="1:44" ht="15">
      <c r="A26" s="2"/>
      <c r="C26" s="292"/>
      <c r="D26" s="73"/>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row>
    <row r="27" spans="1:44">
      <c r="B27" s="1" t="s">
        <v>234</v>
      </c>
      <c r="C27" s="292" t="s">
        <v>101</v>
      </c>
      <c r="D27" s="86">
        <f>SUM(F27:AR27)</f>
        <v>985873.22936411866</v>
      </c>
      <c r="F27" s="86">
        <f t="shared" ref="F27:AR27" si="11">E27*(1+$D$22)+F24</f>
        <v>18157.5576510354</v>
      </c>
      <c r="G27" s="86">
        <f t="shared" si="11"/>
        <v>18459.814285905384</v>
      </c>
      <c r="H27" s="86">
        <f t="shared" si="11"/>
        <v>18767.102383435638</v>
      </c>
      <c r="I27" s="86">
        <f t="shared" si="11"/>
        <v>19079.505698996873</v>
      </c>
      <c r="J27" s="86">
        <f t="shared" si="11"/>
        <v>19397.109382179045</v>
      </c>
      <c r="K27" s="86">
        <f t="shared" si="11"/>
        <v>19720</v>
      </c>
      <c r="L27" s="86">
        <f t="shared" si="11"/>
        <v>20048.265560500433</v>
      </c>
      <c r="M27" s="86">
        <f t="shared" si="11"/>
        <v>20381.995536731629</v>
      </c>
      <c r="N27" s="86">
        <f t="shared" si="11"/>
        <v>20721.280891142509</v>
      </c>
      <c r="O27" s="86">
        <f t="shared" si="11"/>
        <v>21066.214100372621</v>
      </c>
      <c r="P27" s="86">
        <f t="shared" si="11"/>
        <v>21416.889180457863</v>
      </c>
      <c r="Q27" s="86">
        <f t="shared" si="11"/>
        <v>21773.401712455769</v>
      </c>
      <c r="R27" s="86">
        <f t="shared" si="11"/>
        <v>22135.848868497371</v>
      </c>
      <c r="S27" s="86">
        <f t="shared" si="11"/>
        <v>22504.329438272736</v>
      </c>
      <c r="T27" s="86">
        <f t="shared" si="11"/>
        <v>22878.943855957372</v>
      </c>
      <c r="U27" s="86">
        <f t="shared" si="11"/>
        <v>23259.794227586874</v>
      </c>
      <c r="V27" s="86">
        <f t="shared" si="11"/>
        <v>23646.984358887257</v>
      </c>
      <c r="W27" s="86">
        <f t="shared" si="11"/>
        <v>24040.619783568553</v>
      </c>
      <c r="X27" s="86">
        <f t="shared" si="11"/>
        <v>24440.807792089392</v>
      </c>
      <c r="Y27" s="86">
        <f t="shared" si="11"/>
        <v>24847.657460900427</v>
      </c>
      <c r="Z27" s="86">
        <f t="shared" si="11"/>
        <v>25261.279682174529</v>
      </c>
      <c r="AA27" s="86">
        <f t="shared" si="11"/>
        <v>25681.787194031895</v>
      </c>
      <c r="AB27" s="86">
        <f t="shared" si="11"/>
        <v>26109.294611268291</v>
      </c>
      <c r="AC27" s="86">
        <f t="shared" si="11"/>
        <v>26543.918456594809</v>
      </c>
      <c r="AD27" s="86">
        <f t="shared" si="11"/>
        <v>26985.777192397643</v>
      </c>
      <c r="AE27" s="86">
        <f t="shared" si="11"/>
        <v>27434.991253026561</v>
      </c>
      <c r="AF27" s="86">
        <f t="shared" si="11"/>
        <v>27891.683077620844</v>
      </c>
      <c r="AG27" s="86">
        <f t="shared" si="11"/>
        <v>28355.977143481679</v>
      </c>
      <c r="AH27" s="86">
        <f t="shared" si="11"/>
        <v>28828.000000000062</v>
      </c>
      <c r="AI27" s="86">
        <f t="shared" si="11"/>
        <v>29307.880303149479</v>
      </c>
      <c r="AJ27" s="86">
        <f t="shared" si="11"/>
        <v>29795.748850552773</v>
      </c>
      <c r="AK27" s="86">
        <f t="shared" si="11"/>
        <v>30291.738617132734</v>
      </c>
      <c r="AL27" s="86">
        <f t="shared" si="11"/>
        <v>30795.984791356146</v>
      </c>
      <c r="AM27" s="86">
        <f t="shared" si="11"/>
        <v>31308.624812081165</v>
      </c>
      <c r="AN27" s="86">
        <f t="shared" si="11"/>
        <v>31829.798406018061</v>
      </c>
      <c r="AO27" s="86">
        <f t="shared" si="11"/>
        <v>32359.647625813563</v>
      </c>
      <c r="AP27" s="86">
        <f t="shared" si="11"/>
        <v>32898.31688876915</v>
      </c>
      <c r="AQ27" s="86">
        <f t="shared" si="11"/>
        <v>33445.953016203872</v>
      </c>
      <c r="AR27" s="86">
        <f t="shared" si="11"/>
        <v>34002.705273472398</v>
      </c>
    </row>
    <row r="28" spans="1:44">
      <c r="B28" s="1" t="s">
        <v>235</v>
      </c>
      <c r="C28" s="292" t="s">
        <v>101</v>
      </c>
      <c r="D28" s="86">
        <f>SUM(F28:AR28)</f>
        <v>956297.0324831953</v>
      </c>
      <c r="F28" s="86">
        <f t="shared" ref="F28:AR28" si="12">F27*(1-$D$25)</f>
        <v>17612.830921504337</v>
      </c>
      <c r="G28" s="86">
        <f t="shared" si="12"/>
        <v>17906.019857328221</v>
      </c>
      <c r="H28" s="86">
        <f t="shared" si="12"/>
        <v>18204.08931193257</v>
      </c>
      <c r="I28" s="86">
        <f t="shared" si="12"/>
        <v>18507.120528026964</v>
      </c>
      <c r="J28" s="86">
        <f t="shared" si="12"/>
        <v>18815.196100713674</v>
      </c>
      <c r="K28" s="86">
        <f t="shared" si="12"/>
        <v>19128.399999999998</v>
      </c>
      <c r="L28" s="86">
        <f t="shared" si="12"/>
        <v>19446.81759368542</v>
      </c>
      <c r="M28" s="86">
        <f t="shared" si="12"/>
        <v>19770.535670629681</v>
      </c>
      <c r="N28" s="86">
        <f t="shared" si="12"/>
        <v>20099.642464408233</v>
      </c>
      <c r="O28" s="86">
        <f t="shared" si="12"/>
        <v>20434.227677361443</v>
      </c>
      <c r="P28" s="86">
        <f t="shared" si="12"/>
        <v>20774.382505044126</v>
      </c>
      <c r="Q28" s="86">
        <f t="shared" si="12"/>
        <v>21120.199661082093</v>
      </c>
      <c r="R28" s="86">
        <f t="shared" si="12"/>
        <v>21471.77340244245</v>
      </c>
      <c r="S28" s="86">
        <f t="shared" si="12"/>
        <v>21829.199555124553</v>
      </c>
      <c r="T28" s="86">
        <f t="shared" si="12"/>
        <v>22192.575540278649</v>
      </c>
      <c r="U28" s="86">
        <f t="shared" si="12"/>
        <v>22562.000400759265</v>
      </c>
      <c r="V28" s="86">
        <f t="shared" si="12"/>
        <v>22937.57482812064</v>
      </c>
      <c r="W28" s="86">
        <f t="shared" si="12"/>
        <v>23319.401190061497</v>
      </c>
      <c r="X28" s="86">
        <f t="shared" si="12"/>
        <v>23707.583558326711</v>
      </c>
      <c r="Y28" s="86">
        <f t="shared" si="12"/>
        <v>24102.227737073415</v>
      </c>
      <c r="Z28" s="86">
        <f t="shared" si="12"/>
        <v>24503.441291709292</v>
      </c>
      <c r="AA28" s="86">
        <f t="shared" si="12"/>
        <v>24911.333578210939</v>
      </c>
      <c r="AB28" s="86">
        <f t="shared" si="12"/>
        <v>25326.015772930241</v>
      </c>
      <c r="AC28" s="86">
        <f t="shared" si="12"/>
        <v>25747.600902896964</v>
      </c>
      <c r="AD28" s="86">
        <f t="shared" si="12"/>
        <v>26176.203876625714</v>
      </c>
      <c r="AE28" s="86">
        <f t="shared" si="12"/>
        <v>26611.941515435763</v>
      </c>
      <c r="AF28" s="86">
        <f t="shared" si="12"/>
        <v>27054.932585292219</v>
      </c>
      <c r="AG28" s="86">
        <f t="shared" si="12"/>
        <v>27505.297829177227</v>
      </c>
      <c r="AH28" s="86">
        <f t="shared" si="12"/>
        <v>27963.160000000058</v>
      </c>
      <c r="AI28" s="86">
        <f t="shared" si="12"/>
        <v>28428.643894054992</v>
      </c>
      <c r="AJ28" s="86">
        <f t="shared" si="12"/>
        <v>28901.87638503619</v>
      </c>
      <c r="AK28" s="86">
        <f t="shared" si="12"/>
        <v>29382.98645861875</v>
      </c>
      <c r="AL28" s="86">
        <f t="shared" si="12"/>
        <v>29872.105247615462</v>
      </c>
      <c r="AM28" s="86">
        <f t="shared" si="12"/>
        <v>30369.366067718729</v>
      </c>
      <c r="AN28" s="86">
        <f t="shared" si="12"/>
        <v>30874.904453837516</v>
      </c>
      <c r="AO28" s="86">
        <f t="shared" si="12"/>
        <v>31388.858197039153</v>
      </c>
      <c r="AP28" s="86">
        <f t="shared" si="12"/>
        <v>31911.367382106073</v>
      </c>
      <c r="AQ28" s="86">
        <f t="shared" si="12"/>
        <v>32442.574425717754</v>
      </c>
      <c r="AR28" s="86">
        <f t="shared" si="12"/>
        <v>32982.624115268227</v>
      </c>
    </row>
    <row r="29" spans="1:44">
      <c r="B29" s="1" t="s">
        <v>236</v>
      </c>
      <c r="C29" s="292" t="s">
        <v>101</v>
      </c>
      <c r="D29" s="86">
        <f>SUM(F29:AR29)</f>
        <v>29576.196880923555</v>
      </c>
      <c r="F29" s="86">
        <f t="shared" ref="F29:AR29" si="13">F27*$D$25</f>
        <v>544.72672953106201</v>
      </c>
      <c r="G29" s="86">
        <f t="shared" si="13"/>
        <v>553.79442857716151</v>
      </c>
      <c r="H29" s="86">
        <f t="shared" si="13"/>
        <v>563.01307150306911</v>
      </c>
      <c r="I29" s="86">
        <f t="shared" si="13"/>
        <v>572.3851709699062</v>
      </c>
      <c r="J29" s="86">
        <f t="shared" si="13"/>
        <v>581.91328146537137</v>
      </c>
      <c r="K29" s="86">
        <f t="shared" si="13"/>
        <v>591.6</v>
      </c>
      <c r="L29" s="86">
        <f t="shared" si="13"/>
        <v>601.44796681501293</v>
      </c>
      <c r="M29" s="86">
        <f t="shared" si="13"/>
        <v>611.45986610194882</v>
      </c>
      <c r="N29" s="86">
        <f t="shared" si="13"/>
        <v>621.6384267342753</v>
      </c>
      <c r="O29" s="86">
        <f t="shared" si="13"/>
        <v>631.98642301117866</v>
      </c>
      <c r="P29" s="86">
        <f t="shared" si="13"/>
        <v>642.50667541373593</v>
      </c>
      <c r="Q29" s="86">
        <f t="shared" si="13"/>
        <v>653.20205137367304</v>
      </c>
      <c r="R29" s="86">
        <f t="shared" si="13"/>
        <v>664.07546605492109</v>
      </c>
      <c r="S29" s="86">
        <f t="shared" si="13"/>
        <v>675.1298831481821</v>
      </c>
      <c r="T29" s="86">
        <f t="shared" si="13"/>
        <v>686.36831567872116</v>
      </c>
      <c r="U29" s="86">
        <f t="shared" si="13"/>
        <v>697.79382682760615</v>
      </c>
      <c r="V29" s="86">
        <f t="shared" si="13"/>
        <v>709.40953076661765</v>
      </c>
      <c r="W29" s="86">
        <f t="shared" si="13"/>
        <v>721.21859350705654</v>
      </c>
      <c r="X29" s="86">
        <f t="shared" si="13"/>
        <v>733.22423376268171</v>
      </c>
      <c r="Y29" s="86">
        <f t="shared" si="13"/>
        <v>745.42972382701282</v>
      </c>
      <c r="Z29" s="86">
        <f t="shared" si="13"/>
        <v>757.83839046523588</v>
      </c>
      <c r="AA29" s="86">
        <f t="shared" si="13"/>
        <v>770.45361582095677</v>
      </c>
      <c r="AB29" s="86">
        <f t="shared" si="13"/>
        <v>783.27883833804867</v>
      </c>
      <c r="AC29" s="86">
        <f t="shared" si="13"/>
        <v>796.31755369784423</v>
      </c>
      <c r="AD29" s="86">
        <f t="shared" si="13"/>
        <v>809.57331577192929</v>
      </c>
      <c r="AE29" s="86">
        <f t="shared" si="13"/>
        <v>823.04973759079678</v>
      </c>
      <c r="AF29" s="86">
        <f t="shared" si="13"/>
        <v>836.75049232862534</v>
      </c>
      <c r="AG29" s="86">
        <f t="shared" si="13"/>
        <v>850.67931430445037</v>
      </c>
      <c r="AH29" s="86">
        <f t="shared" si="13"/>
        <v>864.84000000000185</v>
      </c>
      <c r="AI29" s="86">
        <f t="shared" si="13"/>
        <v>879.23640909448432</v>
      </c>
      <c r="AJ29" s="86">
        <f t="shared" si="13"/>
        <v>893.87246551658313</v>
      </c>
      <c r="AK29" s="86">
        <f t="shared" si="13"/>
        <v>908.75215851398195</v>
      </c>
      <c r="AL29" s="86">
        <f t="shared" si="13"/>
        <v>923.87954374068431</v>
      </c>
      <c r="AM29" s="86">
        <f t="shared" si="13"/>
        <v>939.25874436243487</v>
      </c>
      <c r="AN29" s="86">
        <f t="shared" si="13"/>
        <v>954.89395218054176</v>
      </c>
      <c r="AO29" s="86">
        <f t="shared" si="13"/>
        <v>970.78942877440682</v>
      </c>
      <c r="AP29" s="86">
        <f t="shared" si="13"/>
        <v>986.94950666307443</v>
      </c>
      <c r="AQ29" s="86">
        <f t="shared" si="13"/>
        <v>1003.3785904861161</v>
      </c>
      <c r="AR29" s="86">
        <f t="shared" si="13"/>
        <v>1020.081158204172</v>
      </c>
    </row>
    <row r="30" spans="1:44">
      <c r="C30" s="22"/>
    </row>
    <row r="31" spans="1:44" ht="15">
      <c r="A31" s="2" t="s">
        <v>237</v>
      </c>
      <c r="C31" s="292"/>
      <c r="D31" s="86"/>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row>
    <row r="32" spans="1:44" ht="15">
      <c r="A32" s="2"/>
      <c r="B32" s="1" t="s">
        <v>177</v>
      </c>
      <c r="C32" s="22" t="s">
        <v>49</v>
      </c>
      <c r="D32" s="1">
        <f>Inputs!E136</f>
        <v>2023</v>
      </c>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row>
    <row r="33" spans="1:44" ht="15">
      <c r="A33" s="2"/>
      <c r="B33" s="1" t="s">
        <v>179</v>
      </c>
      <c r="C33" s="292" t="s">
        <v>180</v>
      </c>
      <c r="D33" s="23">
        <f>Inputs!E137</f>
        <v>68.5</v>
      </c>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row>
    <row r="34" spans="1:44" ht="15">
      <c r="A34" s="2"/>
      <c r="B34" s="1" t="s">
        <v>238</v>
      </c>
      <c r="C34" s="292" t="s">
        <v>180</v>
      </c>
      <c r="D34" s="86">
        <f>D33</f>
        <v>68.5</v>
      </c>
      <c r="E34" s="19"/>
      <c r="F34" s="19">
        <f t="shared" ref="F34:AR34" si="14">IF(F7=$D$32,$D$34,0)</f>
        <v>0</v>
      </c>
      <c r="G34" s="19">
        <f t="shared" si="14"/>
        <v>0</v>
      </c>
      <c r="H34" s="19">
        <f t="shared" si="14"/>
        <v>0</v>
      </c>
      <c r="I34" s="19">
        <f t="shared" si="14"/>
        <v>0</v>
      </c>
      <c r="J34" s="19">
        <f t="shared" si="14"/>
        <v>0</v>
      </c>
      <c r="K34" s="19">
        <f t="shared" si="14"/>
        <v>68.5</v>
      </c>
      <c r="L34" s="19">
        <f t="shared" si="14"/>
        <v>0</v>
      </c>
      <c r="M34" s="19">
        <f t="shared" si="14"/>
        <v>0</v>
      </c>
      <c r="N34" s="19">
        <f t="shared" si="14"/>
        <v>0</v>
      </c>
      <c r="O34" s="19">
        <f t="shared" si="14"/>
        <v>0</v>
      </c>
      <c r="P34" s="19">
        <f t="shared" si="14"/>
        <v>0</v>
      </c>
      <c r="Q34" s="19">
        <f t="shared" si="14"/>
        <v>0</v>
      </c>
      <c r="R34" s="19">
        <f t="shared" si="14"/>
        <v>0</v>
      </c>
      <c r="S34" s="19">
        <f t="shared" si="14"/>
        <v>0</v>
      </c>
      <c r="T34" s="19">
        <f t="shared" si="14"/>
        <v>0</v>
      </c>
      <c r="U34" s="19">
        <f t="shared" si="14"/>
        <v>0</v>
      </c>
      <c r="V34" s="19">
        <f t="shared" si="14"/>
        <v>0</v>
      </c>
      <c r="W34" s="19">
        <f t="shared" si="14"/>
        <v>0</v>
      </c>
      <c r="X34" s="19">
        <f t="shared" si="14"/>
        <v>0</v>
      </c>
      <c r="Y34" s="19">
        <f t="shared" si="14"/>
        <v>0</v>
      </c>
      <c r="Z34" s="19">
        <f t="shared" si="14"/>
        <v>0</v>
      </c>
      <c r="AA34" s="19">
        <f t="shared" si="14"/>
        <v>0</v>
      </c>
      <c r="AB34" s="19">
        <f t="shared" si="14"/>
        <v>0</v>
      </c>
      <c r="AC34" s="19">
        <f t="shared" si="14"/>
        <v>0</v>
      </c>
      <c r="AD34" s="19">
        <f t="shared" si="14"/>
        <v>0</v>
      </c>
      <c r="AE34" s="19">
        <f t="shared" si="14"/>
        <v>0</v>
      </c>
      <c r="AF34" s="19">
        <f t="shared" si="14"/>
        <v>0</v>
      </c>
      <c r="AG34" s="19">
        <f t="shared" si="14"/>
        <v>0</v>
      </c>
      <c r="AH34" s="19">
        <f t="shared" si="14"/>
        <v>0</v>
      </c>
      <c r="AI34" s="19">
        <f t="shared" si="14"/>
        <v>0</v>
      </c>
      <c r="AJ34" s="19">
        <f t="shared" si="14"/>
        <v>0</v>
      </c>
      <c r="AK34" s="19">
        <f t="shared" si="14"/>
        <v>0</v>
      </c>
      <c r="AL34" s="19">
        <f t="shared" si="14"/>
        <v>0</v>
      </c>
      <c r="AM34" s="19">
        <f t="shared" si="14"/>
        <v>0</v>
      </c>
      <c r="AN34" s="19">
        <f t="shared" si="14"/>
        <v>0</v>
      </c>
      <c r="AO34" s="19">
        <f t="shared" si="14"/>
        <v>0</v>
      </c>
      <c r="AP34" s="19">
        <f t="shared" si="14"/>
        <v>0</v>
      </c>
      <c r="AQ34" s="19">
        <f t="shared" si="14"/>
        <v>0</v>
      </c>
      <c r="AR34" s="19">
        <f t="shared" si="14"/>
        <v>0</v>
      </c>
    </row>
    <row r="35" spans="1:44" ht="15">
      <c r="A35" s="2"/>
      <c r="B35" s="1" t="s">
        <v>231</v>
      </c>
      <c r="C35" s="22" t="s">
        <v>66</v>
      </c>
      <c r="D35" s="20">
        <f>Inputs!$E$138</f>
        <v>5.3992539027215708E-3</v>
      </c>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row>
    <row r="36" spans="1:44" ht="15">
      <c r="A36" s="2"/>
      <c r="B36" s="1" t="s">
        <v>239</v>
      </c>
      <c r="C36" s="22" t="s">
        <v>49</v>
      </c>
      <c r="D36" s="1">
        <f>F7</f>
        <v>2018</v>
      </c>
      <c r="F36" s="19">
        <f t="shared" ref="F36:AR36" si="15">IF(F7=$D$36,$D$37,0)</f>
        <v>66.680335831680836</v>
      </c>
      <c r="G36" s="19">
        <f t="shared" si="15"/>
        <v>0</v>
      </c>
      <c r="H36" s="19">
        <f t="shared" si="15"/>
        <v>0</v>
      </c>
      <c r="I36" s="19">
        <f t="shared" si="15"/>
        <v>0</v>
      </c>
      <c r="J36" s="19">
        <f t="shared" si="15"/>
        <v>0</v>
      </c>
      <c r="K36" s="19">
        <f t="shared" si="15"/>
        <v>0</v>
      </c>
      <c r="L36" s="19">
        <f t="shared" si="15"/>
        <v>0</v>
      </c>
      <c r="M36" s="19">
        <f t="shared" si="15"/>
        <v>0</v>
      </c>
      <c r="N36" s="19">
        <f t="shared" si="15"/>
        <v>0</v>
      </c>
      <c r="O36" s="19">
        <f t="shared" si="15"/>
        <v>0</v>
      </c>
      <c r="P36" s="19">
        <f t="shared" si="15"/>
        <v>0</v>
      </c>
      <c r="Q36" s="19">
        <f t="shared" si="15"/>
        <v>0</v>
      </c>
      <c r="R36" s="19">
        <f t="shared" si="15"/>
        <v>0</v>
      </c>
      <c r="S36" s="19">
        <f t="shared" si="15"/>
        <v>0</v>
      </c>
      <c r="T36" s="19">
        <f t="shared" si="15"/>
        <v>0</v>
      </c>
      <c r="U36" s="19">
        <f t="shared" si="15"/>
        <v>0</v>
      </c>
      <c r="V36" s="19">
        <f t="shared" si="15"/>
        <v>0</v>
      </c>
      <c r="W36" s="19">
        <f t="shared" si="15"/>
        <v>0</v>
      </c>
      <c r="X36" s="19">
        <f t="shared" si="15"/>
        <v>0</v>
      </c>
      <c r="Y36" s="19">
        <f t="shared" si="15"/>
        <v>0</v>
      </c>
      <c r="Z36" s="19">
        <f t="shared" si="15"/>
        <v>0</v>
      </c>
      <c r="AA36" s="19">
        <f t="shared" si="15"/>
        <v>0</v>
      </c>
      <c r="AB36" s="19">
        <f t="shared" si="15"/>
        <v>0</v>
      </c>
      <c r="AC36" s="19">
        <f t="shared" si="15"/>
        <v>0</v>
      </c>
      <c r="AD36" s="19">
        <f t="shared" si="15"/>
        <v>0</v>
      </c>
      <c r="AE36" s="19">
        <f t="shared" si="15"/>
        <v>0</v>
      </c>
      <c r="AF36" s="19">
        <f t="shared" si="15"/>
        <v>0</v>
      </c>
      <c r="AG36" s="19">
        <f t="shared" si="15"/>
        <v>0</v>
      </c>
      <c r="AH36" s="19">
        <f t="shared" si="15"/>
        <v>0</v>
      </c>
      <c r="AI36" s="19">
        <f t="shared" si="15"/>
        <v>0</v>
      </c>
      <c r="AJ36" s="19">
        <f t="shared" si="15"/>
        <v>0</v>
      </c>
      <c r="AK36" s="19">
        <f t="shared" si="15"/>
        <v>0</v>
      </c>
      <c r="AL36" s="19">
        <f t="shared" si="15"/>
        <v>0</v>
      </c>
      <c r="AM36" s="19">
        <f t="shared" si="15"/>
        <v>0</v>
      </c>
      <c r="AN36" s="19">
        <f t="shared" si="15"/>
        <v>0</v>
      </c>
      <c r="AO36" s="19">
        <f t="shared" si="15"/>
        <v>0</v>
      </c>
      <c r="AP36" s="19">
        <f t="shared" si="15"/>
        <v>0</v>
      </c>
      <c r="AQ36" s="19">
        <f t="shared" si="15"/>
        <v>0</v>
      </c>
      <c r="AR36" s="19">
        <f t="shared" si="15"/>
        <v>0</v>
      </c>
    </row>
    <row r="37" spans="1:44" ht="15">
      <c r="A37" s="2"/>
      <c r="B37" s="1" t="s">
        <v>240</v>
      </c>
      <c r="C37" s="292" t="s">
        <v>180</v>
      </c>
      <c r="D37" s="86">
        <f>D34*1/(1+D35)^(D32-D36)</f>
        <v>66.680335831680836</v>
      </c>
      <c r="F37" s="86">
        <f>E37*(1+$D$35)+F36</f>
        <v>66.680335831680836</v>
      </c>
      <c r="G37" s="86">
        <f>F37*(1+$D$35)+G36</f>
        <v>67.040359895154836</v>
      </c>
      <c r="H37" s="86">
        <f t="shared" ref="H37:AR37" si="16">G37*(1+$D$35)+H36</f>
        <v>67.402327819958614</v>
      </c>
      <c r="I37" s="86">
        <f t="shared" si="16"/>
        <v>67.766250101493057</v>
      </c>
      <c r="J37" s="86">
        <f t="shared" si="16"/>
        <v>68.132137291826353</v>
      </c>
      <c r="K37" s="86">
        <f t="shared" si="16"/>
        <v>68.500000000000014</v>
      </c>
      <c r="L37" s="86">
        <f t="shared" si="16"/>
        <v>68.869848892336449</v>
      </c>
      <c r="M37" s="86">
        <f t="shared" si="16"/>
        <v>69.241694692748254</v>
      </c>
      <c r="N37" s="86">
        <f t="shared" si="16"/>
        <v>69.615548183049142</v>
      </c>
      <c r="O37" s="86">
        <f t="shared" si="16"/>
        <v>69.991420203266586</v>
      </c>
      <c r="P37" s="86">
        <f t="shared" si="16"/>
        <v>70.369321651956099</v>
      </c>
      <c r="Q37" s="86">
        <f t="shared" si="16"/>
        <v>70.749263486517293</v>
      </c>
      <c r="R37" s="86">
        <f t="shared" si="16"/>
        <v>71.131256723511555</v>
      </c>
      <c r="S37" s="86">
        <f t="shared" si="16"/>
        <v>71.515312438981468</v>
      </c>
      <c r="T37" s="86">
        <f t="shared" si="16"/>
        <v>71.901441768772003</v>
      </c>
      <c r="U37" s="86">
        <f t="shared" si="16"/>
        <v>72.289655908853362</v>
      </c>
      <c r="V37" s="86">
        <f t="shared" si="16"/>
        <v>72.679966115645641</v>
      </c>
      <c r="W37" s="86">
        <f t="shared" si="16"/>
        <v>73.072383706345221</v>
      </c>
      <c r="X37" s="86">
        <f t="shared" si="16"/>
        <v>73.466920059252885</v>
      </c>
      <c r="Y37" s="86">
        <f t="shared" si="16"/>
        <v>73.863586614103752</v>
      </c>
      <c r="Z37" s="86">
        <f t="shared" si="16"/>
        <v>74.262394872398971</v>
      </c>
      <c r="AA37" s="86">
        <f t="shared" si="16"/>
        <v>74.663356397739236</v>
      </c>
      <c r="AB37" s="86">
        <f t="shared" si="16"/>
        <v>75.066482816160033</v>
      </c>
      <c r="AC37" s="86">
        <f t="shared" si="16"/>
        <v>75.471785816468767</v>
      </c>
      <c r="AD37" s="86">
        <f t="shared" si="16"/>
        <v>75.879277150583704</v>
      </c>
      <c r="AE37" s="86">
        <f t="shared" si="16"/>
        <v>76.288968633874688</v>
      </c>
      <c r="AF37" s="86">
        <f t="shared" si="16"/>
        <v>76.700872145505741</v>
      </c>
      <c r="AG37" s="86">
        <f t="shared" si="16"/>
        <v>77.114999628779515</v>
      </c>
      <c r="AH37" s="86">
        <f t="shared" si="16"/>
        <v>77.531363091483584</v>
      </c>
      <c r="AI37" s="86">
        <f t="shared" si="16"/>
        <v>77.949974606238612</v>
      </c>
      <c r="AJ37" s="86">
        <f t="shared" si="16"/>
        <v>78.370846310848407</v>
      </c>
      <c r="AK37" s="86">
        <f t="shared" si="16"/>
        <v>78.793990408651851</v>
      </c>
      <c r="AL37" s="86">
        <f t="shared" si="16"/>
        <v>79.219419168876783</v>
      </c>
      <c r="AM37" s="86">
        <f t="shared" si="16"/>
        <v>79.647144926995679</v>
      </c>
      <c r="AN37" s="86">
        <f t="shared" si="16"/>
        <v>80.077180085083398</v>
      </c>
      <c r="AO37" s="86">
        <f t="shared" si="16"/>
        <v>80.50953711217673</v>
      </c>
      <c r="AP37" s="86">
        <f t="shared" si="16"/>
        <v>80.944228544635962</v>
      </c>
      <c r="AQ37" s="86">
        <f t="shared" si="16"/>
        <v>81.381266986508379</v>
      </c>
      <c r="AR37" s="86">
        <f t="shared" si="16"/>
        <v>81.820665109893724</v>
      </c>
    </row>
    <row r="38" spans="1:44" ht="15">
      <c r="A38" s="2"/>
      <c r="C38" s="22"/>
      <c r="D38" s="86"/>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row>
    <row r="39" spans="1:44" s="9" customFormat="1">
      <c r="A39" s="8" t="s">
        <v>241</v>
      </c>
      <c r="B39" s="13"/>
      <c r="C39" s="293"/>
    </row>
    <row r="40" spans="1:44" ht="15">
      <c r="A40" s="2" t="s">
        <v>230</v>
      </c>
      <c r="C40" s="21"/>
    </row>
    <row r="41" spans="1:44">
      <c r="B41" s="1" t="s">
        <v>234</v>
      </c>
      <c r="C41" s="292" t="s">
        <v>101</v>
      </c>
      <c r="D41" s="86">
        <f>SUM(F41:AR41)</f>
        <v>985873.22936411866</v>
      </c>
      <c r="F41" s="86">
        <f t="shared" ref="F41:AR41" si="17">F27</f>
        <v>18157.5576510354</v>
      </c>
      <c r="G41" s="86">
        <f t="shared" si="17"/>
        <v>18459.814285905384</v>
      </c>
      <c r="H41" s="86">
        <f t="shared" si="17"/>
        <v>18767.102383435638</v>
      </c>
      <c r="I41" s="86">
        <f t="shared" si="17"/>
        <v>19079.505698996873</v>
      </c>
      <c r="J41" s="86">
        <f t="shared" si="17"/>
        <v>19397.109382179045</v>
      </c>
      <c r="K41" s="86">
        <f t="shared" si="17"/>
        <v>19720</v>
      </c>
      <c r="L41" s="86">
        <f t="shared" si="17"/>
        <v>20048.265560500433</v>
      </c>
      <c r="M41" s="86">
        <f t="shared" si="17"/>
        <v>20381.995536731629</v>
      </c>
      <c r="N41" s="86">
        <f t="shared" si="17"/>
        <v>20721.280891142509</v>
      </c>
      <c r="O41" s="86">
        <f t="shared" si="17"/>
        <v>21066.214100372621</v>
      </c>
      <c r="P41" s="86">
        <f t="shared" si="17"/>
        <v>21416.889180457863</v>
      </c>
      <c r="Q41" s="86">
        <f t="shared" si="17"/>
        <v>21773.401712455769</v>
      </c>
      <c r="R41" s="86">
        <f t="shared" si="17"/>
        <v>22135.848868497371</v>
      </c>
      <c r="S41" s="86">
        <f t="shared" si="17"/>
        <v>22504.329438272736</v>
      </c>
      <c r="T41" s="86">
        <f t="shared" si="17"/>
        <v>22878.943855957372</v>
      </c>
      <c r="U41" s="86">
        <f t="shared" si="17"/>
        <v>23259.794227586874</v>
      </c>
      <c r="V41" s="86">
        <f t="shared" si="17"/>
        <v>23646.984358887257</v>
      </c>
      <c r="W41" s="86">
        <f t="shared" si="17"/>
        <v>24040.619783568553</v>
      </c>
      <c r="X41" s="86">
        <f t="shared" si="17"/>
        <v>24440.807792089392</v>
      </c>
      <c r="Y41" s="86">
        <f t="shared" si="17"/>
        <v>24847.657460900427</v>
      </c>
      <c r="Z41" s="86">
        <f t="shared" si="17"/>
        <v>25261.279682174529</v>
      </c>
      <c r="AA41" s="86">
        <f t="shared" si="17"/>
        <v>25681.787194031895</v>
      </c>
      <c r="AB41" s="86">
        <f t="shared" si="17"/>
        <v>26109.294611268291</v>
      </c>
      <c r="AC41" s="86">
        <f t="shared" si="17"/>
        <v>26543.918456594809</v>
      </c>
      <c r="AD41" s="86">
        <f t="shared" si="17"/>
        <v>26985.777192397643</v>
      </c>
      <c r="AE41" s="86">
        <f t="shared" si="17"/>
        <v>27434.991253026561</v>
      </c>
      <c r="AF41" s="86">
        <f t="shared" si="17"/>
        <v>27891.683077620844</v>
      </c>
      <c r="AG41" s="86">
        <f t="shared" si="17"/>
        <v>28355.977143481679</v>
      </c>
      <c r="AH41" s="86">
        <f t="shared" si="17"/>
        <v>28828.000000000062</v>
      </c>
      <c r="AI41" s="86">
        <f t="shared" si="17"/>
        <v>29307.880303149479</v>
      </c>
      <c r="AJ41" s="86">
        <f t="shared" si="17"/>
        <v>29795.748850552773</v>
      </c>
      <c r="AK41" s="86">
        <f t="shared" si="17"/>
        <v>30291.738617132734</v>
      </c>
      <c r="AL41" s="86">
        <f t="shared" si="17"/>
        <v>30795.984791356146</v>
      </c>
      <c r="AM41" s="86">
        <f t="shared" si="17"/>
        <v>31308.624812081165</v>
      </c>
      <c r="AN41" s="86">
        <f t="shared" si="17"/>
        <v>31829.798406018061</v>
      </c>
      <c r="AO41" s="86">
        <f t="shared" si="17"/>
        <v>32359.647625813563</v>
      </c>
      <c r="AP41" s="86">
        <f t="shared" si="17"/>
        <v>32898.31688876915</v>
      </c>
      <c r="AQ41" s="86">
        <f t="shared" si="17"/>
        <v>33445.953016203872</v>
      </c>
      <c r="AR41" s="86">
        <f t="shared" si="17"/>
        <v>34002.705273472398</v>
      </c>
    </row>
    <row r="42" spans="1:44">
      <c r="B42" s="1" t="s">
        <v>235</v>
      </c>
      <c r="C42" s="292" t="s">
        <v>101</v>
      </c>
      <c r="D42" s="86">
        <f>SUM(F42:AR42)</f>
        <v>956297.0324831953</v>
      </c>
      <c r="F42" s="86">
        <f t="shared" ref="F42:AE42" si="18">F28</f>
        <v>17612.830921504337</v>
      </c>
      <c r="G42" s="86">
        <f t="shared" si="18"/>
        <v>17906.019857328221</v>
      </c>
      <c r="H42" s="86">
        <f t="shared" si="18"/>
        <v>18204.08931193257</v>
      </c>
      <c r="I42" s="86">
        <f t="shared" si="18"/>
        <v>18507.120528026964</v>
      </c>
      <c r="J42" s="86">
        <f t="shared" si="18"/>
        <v>18815.196100713674</v>
      </c>
      <c r="K42" s="86">
        <f t="shared" si="18"/>
        <v>19128.399999999998</v>
      </c>
      <c r="L42" s="86">
        <f t="shared" si="18"/>
        <v>19446.81759368542</v>
      </c>
      <c r="M42" s="86">
        <f t="shared" si="18"/>
        <v>19770.535670629681</v>
      </c>
      <c r="N42" s="86">
        <f t="shared" si="18"/>
        <v>20099.642464408233</v>
      </c>
      <c r="O42" s="86">
        <f t="shared" si="18"/>
        <v>20434.227677361443</v>
      </c>
      <c r="P42" s="86">
        <f t="shared" si="18"/>
        <v>20774.382505044126</v>
      </c>
      <c r="Q42" s="86">
        <f t="shared" si="18"/>
        <v>21120.199661082093</v>
      </c>
      <c r="R42" s="86">
        <f t="shared" si="18"/>
        <v>21471.77340244245</v>
      </c>
      <c r="S42" s="86">
        <f t="shared" si="18"/>
        <v>21829.199555124553</v>
      </c>
      <c r="T42" s="86">
        <f t="shared" si="18"/>
        <v>22192.575540278649</v>
      </c>
      <c r="U42" s="86">
        <f t="shared" si="18"/>
        <v>22562.000400759265</v>
      </c>
      <c r="V42" s="86">
        <f t="shared" si="18"/>
        <v>22937.57482812064</v>
      </c>
      <c r="W42" s="86">
        <f t="shared" si="18"/>
        <v>23319.401190061497</v>
      </c>
      <c r="X42" s="86">
        <f t="shared" si="18"/>
        <v>23707.583558326711</v>
      </c>
      <c r="Y42" s="86">
        <f t="shared" si="18"/>
        <v>24102.227737073415</v>
      </c>
      <c r="Z42" s="86">
        <f t="shared" si="18"/>
        <v>24503.441291709292</v>
      </c>
      <c r="AA42" s="86">
        <f t="shared" si="18"/>
        <v>24911.333578210939</v>
      </c>
      <c r="AB42" s="86">
        <f t="shared" si="18"/>
        <v>25326.015772930241</v>
      </c>
      <c r="AC42" s="86">
        <f t="shared" si="18"/>
        <v>25747.600902896964</v>
      </c>
      <c r="AD42" s="86">
        <f t="shared" si="18"/>
        <v>26176.203876625714</v>
      </c>
      <c r="AE42" s="86">
        <f t="shared" si="18"/>
        <v>26611.941515435763</v>
      </c>
      <c r="AF42" s="86">
        <f>AF28</f>
        <v>27054.932585292219</v>
      </c>
      <c r="AG42" s="86">
        <f t="shared" ref="AG42:AR42" si="19">AG28</f>
        <v>27505.297829177227</v>
      </c>
      <c r="AH42" s="86">
        <f t="shared" si="19"/>
        <v>27963.160000000058</v>
      </c>
      <c r="AI42" s="86">
        <f t="shared" si="19"/>
        <v>28428.643894054992</v>
      </c>
      <c r="AJ42" s="86">
        <f t="shared" si="19"/>
        <v>28901.87638503619</v>
      </c>
      <c r="AK42" s="86">
        <f t="shared" si="19"/>
        <v>29382.98645861875</v>
      </c>
      <c r="AL42" s="86">
        <f t="shared" si="19"/>
        <v>29872.105247615462</v>
      </c>
      <c r="AM42" s="86">
        <f t="shared" si="19"/>
        <v>30369.366067718729</v>
      </c>
      <c r="AN42" s="86">
        <f t="shared" si="19"/>
        <v>30874.904453837516</v>
      </c>
      <c r="AO42" s="86">
        <f t="shared" si="19"/>
        <v>31388.858197039153</v>
      </c>
      <c r="AP42" s="86">
        <f t="shared" si="19"/>
        <v>31911.367382106073</v>
      </c>
      <c r="AQ42" s="86">
        <f t="shared" si="19"/>
        <v>32442.574425717754</v>
      </c>
      <c r="AR42" s="86">
        <f t="shared" si="19"/>
        <v>32982.624115268227</v>
      </c>
    </row>
    <row r="43" spans="1:44">
      <c r="B43" s="1" t="s">
        <v>236</v>
      </c>
      <c r="C43" s="292" t="s">
        <v>101</v>
      </c>
      <c r="D43" s="86">
        <f>SUM(F43:AR43)</f>
        <v>29576.196880923555</v>
      </c>
      <c r="F43" s="86">
        <f t="shared" ref="F43:AE43" si="20">F29</f>
        <v>544.72672953106201</v>
      </c>
      <c r="G43" s="86">
        <f t="shared" si="20"/>
        <v>553.79442857716151</v>
      </c>
      <c r="H43" s="86">
        <f t="shared" si="20"/>
        <v>563.01307150306911</v>
      </c>
      <c r="I43" s="86">
        <f t="shared" si="20"/>
        <v>572.3851709699062</v>
      </c>
      <c r="J43" s="86">
        <f t="shared" si="20"/>
        <v>581.91328146537137</v>
      </c>
      <c r="K43" s="86">
        <f t="shared" si="20"/>
        <v>591.6</v>
      </c>
      <c r="L43" s="86">
        <f t="shared" si="20"/>
        <v>601.44796681501293</v>
      </c>
      <c r="M43" s="86">
        <f t="shared" si="20"/>
        <v>611.45986610194882</v>
      </c>
      <c r="N43" s="86">
        <f t="shared" si="20"/>
        <v>621.6384267342753</v>
      </c>
      <c r="O43" s="86">
        <f t="shared" si="20"/>
        <v>631.98642301117866</v>
      </c>
      <c r="P43" s="86">
        <f t="shared" si="20"/>
        <v>642.50667541373593</v>
      </c>
      <c r="Q43" s="86">
        <f t="shared" si="20"/>
        <v>653.20205137367304</v>
      </c>
      <c r="R43" s="86">
        <f t="shared" si="20"/>
        <v>664.07546605492109</v>
      </c>
      <c r="S43" s="86">
        <f t="shared" si="20"/>
        <v>675.1298831481821</v>
      </c>
      <c r="T43" s="86">
        <f t="shared" si="20"/>
        <v>686.36831567872116</v>
      </c>
      <c r="U43" s="86">
        <f t="shared" si="20"/>
        <v>697.79382682760615</v>
      </c>
      <c r="V43" s="86">
        <f t="shared" si="20"/>
        <v>709.40953076661765</v>
      </c>
      <c r="W43" s="86">
        <f t="shared" si="20"/>
        <v>721.21859350705654</v>
      </c>
      <c r="X43" s="86">
        <f t="shared" si="20"/>
        <v>733.22423376268171</v>
      </c>
      <c r="Y43" s="86">
        <f t="shared" si="20"/>
        <v>745.42972382701282</v>
      </c>
      <c r="Z43" s="86">
        <f t="shared" si="20"/>
        <v>757.83839046523588</v>
      </c>
      <c r="AA43" s="86">
        <f t="shared" si="20"/>
        <v>770.45361582095677</v>
      </c>
      <c r="AB43" s="86">
        <f t="shared" si="20"/>
        <v>783.27883833804867</v>
      </c>
      <c r="AC43" s="86">
        <f t="shared" si="20"/>
        <v>796.31755369784423</v>
      </c>
      <c r="AD43" s="86">
        <f t="shared" si="20"/>
        <v>809.57331577192929</v>
      </c>
      <c r="AE43" s="86">
        <f t="shared" si="20"/>
        <v>823.04973759079678</v>
      </c>
      <c r="AF43" s="86">
        <f>AF29</f>
        <v>836.75049232862534</v>
      </c>
      <c r="AG43" s="86">
        <f t="shared" ref="AG43:AR43" si="21">AG29</f>
        <v>850.67931430445037</v>
      </c>
      <c r="AH43" s="86">
        <f t="shared" si="21"/>
        <v>864.84000000000185</v>
      </c>
      <c r="AI43" s="86">
        <f t="shared" si="21"/>
        <v>879.23640909448432</v>
      </c>
      <c r="AJ43" s="86">
        <f t="shared" si="21"/>
        <v>893.87246551658313</v>
      </c>
      <c r="AK43" s="86">
        <f t="shared" si="21"/>
        <v>908.75215851398195</v>
      </c>
      <c r="AL43" s="86">
        <f t="shared" si="21"/>
        <v>923.87954374068431</v>
      </c>
      <c r="AM43" s="86">
        <f t="shared" si="21"/>
        <v>939.25874436243487</v>
      </c>
      <c r="AN43" s="86">
        <f t="shared" si="21"/>
        <v>954.89395218054176</v>
      </c>
      <c r="AO43" s="86">
        <f t="shared" si="21"/>
        <v>970.78942877440682</v>
      </c>
      <c r="AP43" s="86">
        <f t="shared" si="21"/>
        <v>986.94950666307443</v>
      </c>
      <c r="AQ43" s="86">
        <f t="shared" si="21"/>
        <v>1003.3785904861161</v>
      </c>
      <c r="AR43" s="86">
        <f t="shared" si="21"/>
        <v>1020.081158204172</v>
      </c>
    </row>
    <row r="44" spans="1:44">
      <c r="C44" s="22"/>
    </row>
    <row r="45" spans="1:44" ht="15">
      <c r="A45" s="2" t="s">
        <v>237</v>
      </c>
      <c r="C45" s="292"/>
      <c r="D45" s="86"/>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row>
    <row r="46" spans="1:44" ht="15">
      <c r="A46" s="2"/>
      <c r="B46" s="1" t="s">
        <v>242</v>
      </c>
      <c r="C46" s="292" t="s">
        <v>180</v>
      </c>
      <c r="D46" s="86">
        <f>SUM(F46:AR46)</f>
        <v>2885.9727851983571</v>
      </c>
      <c r="F46" s="86">
        <f>F37</f>
        <v>66.680335831680836</v>
      </c>
      <c r="G46" s="86">
        <f t="shared" ref="G46:AR46" si="22">G37</f>
        <v>67.040359895154836</v>
      </c>
      <c r="H46" s="86">
        <f t="shared" si="22"/>
        <v>67.402327819958614</v>
      </c>
      <c r="I46" s="86">
        <f t="shared" si="22"/>
        <v>67.766250101493057</v>
      </c>
      <c r="J46" s="86">
        <f t="shared" si="22"/>
        <v>68.132137291826353</v>
      </c>
      <c r="K46" s="86">
        <f t="shared" si="22"/>
        <v>68.500000000000014</v>
      </c>
      <c r="L46" s="86">
        <f t="shared" si="22"/>
        <v>68.869848892336449</v>
      </c>
      <c r="M46" s="86">
        <f t="shared" si="22"/>
        <v>69.241694692748254</v>
      </c>
      <c r="N46" s="86">
        <f t="shared" si="22"/>
        <v>69.615548183049142</v>
      </c>
      <c r="O46" s="86">
        <f t="shared" si="22"/>
        <v>69.991420203266586</v>
      </c>
      <c r="P46" s="86">
        <f t="shared" si="22"/>
        <v>70.369321651956099</v>
      </c>
      <c r="Q46" s="86">
        <f t="shared" si="22"/>
        <v>70.749263486517293</v>
      </c>
      <c r="R46" s="86">
        <f t="shared" si="22"/>
        <v>71.131256723511555</v>
      </c>
      <c r="S46" s="86">
        <f t="shared" si="22"/>
        <v>71.515312438981468</v>
      </c>
      <c r="T46" s="86">
        <f t="shared" si="22"/>
        <v>71.901441768772003</v>
      </c>
      <c r="U46" s="86">
        <f t="shared" si="22"/>
        <v>72.289655908853362</v>
      </c>
      <c r="V46" s="86">
        <f t="shared" si="22"/>
        <v>72.679966115645641</v>
      </c>
      <c r="W46" s="86">
        <f t="shared" si="22"/>
        <v>73.072383706345221</v>
      </c>
      <c r="X46" s="86">
        <f t="shared" si="22"/>
        <v>73.466920059252885</v>
      </c>
      <c r="Y46" s="86">
        <f t="shared" si="22"/>
        <v>73.863586614103752</v>
      </c>
      <c r="Z46" s="86">
        <f t="shared" si="22"/>
        <v>74.262394872398971</v>
      </c>
      <c r="AA46" s="86">
        <f t="shared" si="22"/>
        <v>74.663356397739236</v>
      </c>
      <c r="AB46" s="86">
        <f t="shared" si="22"/>
        <v>75.066482816160033</v>
      </c>
      <c r="AC46" s="86">
        <f t="shared" si="22"/>
        <v>75.471785816468767</v>
      </c>
      <c r="AD46" s="86">
        <f t="shared" si="22"/>
        <v>75.879277150583704</v>
      </c>
      <c r="AE46" s="86">
        <f t="shared" si="22"/>
        <v>76.288968633874688</v>
      </c>
      <c r="AF46" s="86">
        <f t="shared" si="22"/>
        <v>76.700872145505741</v>
      </c>
      <c r="AG46" s="86">
        <f t="shared" si="22"/>
        <v>77.114999628779515</v>
      </c>
      <c r="AH46" s="86">
        <f t="shared" si="22"/>
        <v>77.531363091483584</v>
      </c>
      <c r="AI46" s="86">
        <f t="shared" si="22"/>
        <v>77.949974606238612</v>
      </c>
      <c r="AJ46" s="86">
        <f t="shared" si="22"/>
        <v>78.370846310848407</v>
      </c>
      <c r="AK46" s="86">
        <f t="shared" si="22"/>
        <v>78.793990408651851</v>
      </c>
      <c r="AL46" s="86">
        <f t="shared" si="22"/>
        <v>79.219419168876783</v>
      </c>
      <c r="AM46" s="86">
        <f t="shared" si="22"/>
        <v>79.647144926995679</v>
      </c>
      <c r="AN46" s="86">
        <f t="shared" si="22"/>
        <v>80.077180085083398</v>
      </c>
      <c r="AO46" s="86">
        <f t="shared" si="22"/>
        <v>80.50953711217673</v>
      </c>
      <c r="AP46" s="86">
        <f t="shared" si="22"/>
        <v>80.944228544635962</v>
      </c>
      <c r="AQ46" s="86">
        <f t="shared" si="22"/>
        <v>81.381266986508379</v>
      </c>
      <c r="AR46" s="86">
        <f t="shared" si="22"/>
        <v>81.820665109893724</v>
      </c>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909F8-59BE-4ABA-84B1-B8635A43E3AC}">
  <sheetPr>
    <tabColor theme="9"/>
  </sheetPr>
  <dimension ref="A1:AS80"/>
  <sheetViews>
    <sheetView workbookViewId="0">
      <pane xSplit="4" ySplit="11" topLeftCell="G12" activePane="bottomRight" state="frozen"/>
      <selection pane="bottomRight" activeCell="A2" sqref="A2"/>
      <selection pane="bottomLeft" activeCell="A12" sqref="A12"/>
      <selection pane="topRight" activeCell="E1" sqref="E1"/>
    </sheetView>
  </sheetViews>
  <sheetFormatPr defaultColWidth="0" defaultRowHeight="14.25"/>
  <cols>
    <col min="1" max="1" width="10.85546875" style="1" customWidth="1"/>
    <col min="2" max="2" width="32.5703125" style="1" bestFit="1" customWidth="1"/>
    <col min="3" max="3" width="15.42578125" style="1" bestFit="1" customWidth="1"/>
    <col min="4" max="4" width="15.140625" style="1" bestFit="1" customWidth="1"/>
    <col min="5" max="5" width="1.5703125" style="1" customWidth="1"/>
    <col min="6" max="44" width="14.42578125" style="1" customWidth="1"/>
    <col min="45" max="45" width="9.140625" style="1" customWidth="1"/>
    <col min="46" max="16384" width="9.140625" style="1" hidden="1"/>
  </cols>
  <sheetData>
    <row r="1" spans="1:44" ht="19.5">
      <c r="A1" s="7" t="str">
        <f>Summary!$A$1</f>
        <v>Multimodal Improvements to Safely Connect Tulsa at US-75 and 81st Street Interchange</v>
      </c>
    </row>
    <row r="2" spans="1:44" ht="19.5">
      <c r="A2" s="7" t="s">
        <v>12</v>
      </c>
      <c r="C2" s="12"/>
    </row>
    <row r="3" spans="1:44">
      <c r="A3" s="55">
        <f ca="1">Summary!A3</f>
        <v>44984</v>
      </c>
      <c r="C3" s="12"/>
    </row>
    <row r="4" spans="1:44">
      <c r="A4" s="56" t="str">
        <f>Summary!A4</f>
        <v>All $ values 2021, unless otherwise noted</v>
      </c>
      <c r="C4" s="12"/>
    </row>
    <row r="5" spans="1:44">
      <c r="B5" s="70"/>
      <c r="C5" s="12"/>
    </row>
    <row r="6" spans="1:44">
      <c r="C6" s="1" t="s">
        <v>43</v>
      </c>
      <c r="D6" s="1" t="s">
        <v>44</v>
      </c>
    </row>
    <row r="7" spans="1:44" s="9" customFormat="1">
      <c r="A7" s="9" t="s">
        <v>204</v>
      </c>
      <c r="C7" s="293" t="s">
        <v>204</v>
      </c>
      <c r="F7" s="9">
        <f>Inputs!$E$12</f>
        <v>2018</v>
      </c>
      <c r="G7" s="9">
        <f>F7+1</f>
        <v>2019</v>
      </c>
      <c r="H7" s="9">
        <f t="shared" ref="H7:W8" si="0">G7+1</f>
        <v>2020</v>
      </c>
      <c r="I7" s="9">
        <f t="shared" si="0"/>
        <v>2021</v>
      </c>
      <c r="J7" s="9">
        <f t="shared" si="0"/>
        <v>2022</v>
      </c>
      <c r="K7" s="9">
        <f t="shared" si="0"/>
        <v>2023</v>
      </c>
      <c r="L7" s="9">
        <f t="shared" si="0"/>
        <v>2024</v>
      </c>
      <c r="M7" s="9">
        <f t="shared" si="0"/>
        <v>2025</v>
      </c>
      <c r="N7" s="9">
        <f t="shared" si="0"/>
        <v>2026</v>
      </c>
      <c r="O7" s="9">
        <f t="shared" si="0"/>
        <v>2027</v>
      </c>
      <c r="P7" s="9">
        <f t="shared" si="0"/>
        <v>2028</v>
      </c>
      <c r="Q7" s="9">
        <f t="shared" si="0"/>
        <v>2029</v>
      </c>
      <c r="R7" s="9">
        <f t="shared" si="0"/>
        <v>2030</v>
      </c>
      <c r="S7" s="9">
        <f t="shared" si="0"/>
        <v>2031</v>
      </c>
      <c r="T7" s="9">
        <f t="shared" si="0"/>
        <v>2032</v>
      </c>
      <c r="U7" s="9">
        <f t="shared" si="0"/>
        <v>2033</v>
      </c>
      <c r="V7" s="9">
        <f t="shared" si="0"/>
        <v>2034</v>
      </c>
      <c r="W7" s="9">
        <f t="shared" si="0"/>
        <v>2035</v>
      </c>
      <c r="X7" s="9">
        <f t="shared" ref="X7:AM8" si="1">W7+1</f>
        <v>2036</v>
      </c>
      <c r="Y7" s="9">
        <f t="shared" si="1"/>
        <v>2037</v>
      </c>
      <c r="Z7" s="9">
        <f t="shared" si="1"/>
        <v>2038</v>
      </c>
      <c r="AA7" s="9">
        <f t="shared" si="1"/>
        <v>2039</v>
      </c>
      <c r="AB7" s="9">
        <f t="shared" si="1"/>
        <v>2040</v>
      </c>
      <c r="AC7" s="9">
        <f t="shared" si="1"/>
        <v>2041</v>
      </c>
      <c r="AD7" s="9">
        <f t="shared" si="1"/>
        <v>2042</v>
      </c>
      <c r="AE7" s="9">
        <f t="shared" si="1"/>
        <v>2043</v>
      </c>
      <c r="AF7" s="9">
        <f t="shared" si="1"/>
        <v>2044</v>
      </c>
      <c r="AG7" s="9">
        <f t="shared" si="1"/>
        <v>2045</v>
      </c>
      <c r="AH7" s="9">
        <f t="shared" si="1"/>
        <v>2046</v>
      </c>
      <c r="AI7" s="9">
        <f t="shared" si="1"/>
        <v>2047</v>
      </c>
      <c r="AJ7" s="9">
        <f t="shared" si="1"/>
        <v>2048</v>
      </c>
      <c r="AK7" s="9">
        <f t="shared" si="1"/>
        <v>2049</v>
      </c>
      <c r="AL7" s="9">
        <f t="shared" si="1"/>
        <v>2050</v>
      </c>
      <c r="AM7" s="9">
        <f t="shared" si="1"/>
        <v>2051</v>
      </c>
      <c r="AN7" s="9">
        <f t="shared" ref="AN7:AR8" si="2">AM7+1</f>
        <v>2052</v>
      </c>
      <c r="AO7" s="9">
        <f t="shared" si="2"/>
        <v>2053</v>
      </c>
      <c r="AP7" s="9">
        <f t="shared" si="2"/>
        <v>2054</v>
      </c>
      <c r="AQ7" s="9">
        <f t="shared" si="2"/>
        <v>2055</v>
      </c>
      <c r="AR7" s="9">
        <f t="shared" si="2"/>
        <v>2056</v>
      </c>
    </row>
    <row r="8" spans="1:44">
      <c r="B8" s="1" t="s">
        <v>205</v>
      </c>
      <c r="C8" s="22" t="s">
        <v>49</v>
      </c>
      <c r="F8" s="1">
        <f>D8+1</f>
        <v>1</v>
      </c>
      <c r="G8" s="1">
        <f t="shared" ref="G8" si="3">F8+1</f>
        <v>2</v>
      </c>
      <c r="H8" s="1">
        <f t="shared" si="0"/>
        <v>3</v>
      </c>
      <c r="I8" s="1">
        <f t="shared" si="0"/>
        <v>4</v>
      </c>
      <c r="J8" s="1">
        <f t="shared" si="0"/>
        <v>5</v>
      </c>
      <c r="K8" s="1">
        <f t="shared" si="0"/>
        <v>6</v>
      </c>
      <c r="L8" s="1">
        <f t="shared" si="0"/>
        <v>7</v>
      </c>
      <c r="M8" s="1">
        <f t="shared" si="0"/>
        <v>8</v>
      </c>
      <c r="N8" s="1">
        <f t="shared" si="0"/>
        <v>9</v>
      </c>
      <c r="O8" s="1">
        <f t="shared" si="0"/>
        <v>10</v>
      </c>
      <c r="P8" s="1">
        <f t="shared" si="0"/>
        <v>11</v>
      </c>
      <c r="Q8" s="1">
        <f t="shared" si="0"/>
        <v>12</v>
      </c>
      <c r="R8" s="1">
        <f t="shared" si="0"/>
        <v>13</v>
      </c>
      <c r="S8" s="1">
        <f t="shared" si="0"/>
        <v>14</v>
      </c>
      <c r="T8" s="1">
        <f t="shared" si="0"/>
        <v>15</v>
      </c>
      <c r="U8" s="1">
        <f t="shared" si="0"/>
        <v>16</v>
      </c>
      <c r="V8" s="1">
        <f t="shared" si="0"/>
        <v>17</v>
      </c>
      <c r="W8" s="1">
        <f t="shared" si="0"/>
        <v>18</v>
      </c>
      <c r="X8" s="1">
        <f t="shared" si="1"/>
        <v>19</v>
      </c>
      <c r="Y8" s="1">
        <f t="shared" si="1"/>
        <v>20</v>
      </c>
      <c r="Z8" s="1">
        <f t="shared" si="1"/>
        <v>21</v>
      </c>
      <c r="AA8" s="1">
        <f t="shared" si="1"/>
        <v>22</v>
      </c>
      <c r="AB8" s="1">
        <f t="shared" si="1"/>
        <v>23</v>
      </c>
      <c r="AC8" s="1">
        <f t="shared" si="1"/>
        <v>24</v>
      </c>
      <c r="AD8" s="1">
        <f t="shared" si="1"/>
        <v>25</v>
      </c>
      <c r="AE8" s="1">
        <f t="shared" si="1"/>
        <v>26</v>
      </c>
      <c r="AF8" s="1">
        <f t="shared" si="1"/>
        <v>27</v>
      </c>
      <c r="AG8" s="1">
        <f t="shared" si="1"/>
        <v>28</v>
      </c>
      <c r="AH8" s="1">
        <f t="shared" si="1"/>
        <v>29</v>
      </c>
      <c r="AI8" s="1">
        <f t="shared" si="1"/>
        <v>30</v>
      </c>
      <c r="AJ8" s="1">
        <f t="shared" si="1"/>
        <v>31</v>
      </c>
      <c r="AK8" s="1">
        <f t="shared" si="1"/>
        <v>32</v>
      </c>
      <c r="AL8" s="1">
        <f t="shared" si="1"/>
        <v>33</v>
      </c>
      <c r="AM8" s="1">
        <f t="shared" si="1"/>
        <v>34</v>
      </c>
      <c r="AN8" s="1">
        <f t="shared" si="2"/>
        <v>35</v>
      </c>
      <c r="AO8" s="1">
        <f t="shared" si="2"/>
        <v>36</v>
      </c>
      <c r="AP8" s="1">
        <f t="shared" si="2"/>
        <v>37</v>
      </c>
      <c r="AQ8" s="1">
        <f t="shared" si="2"/>
        <v>38</v>
      </c>
      <c r="AR8" s="1">
        <f t="shared" si="2"/>
        <v>39</v>
      </c>
    </row>
    <row r="9" spans="1:44">
      <c r="B9" s="1" t="s">
        <v>206</v>
      </c>
      <c r="C9" s="22" t="s">
        <v>207</v>
      </c>
      <c r="F9" s="1">
        <f>IF(F7=Inputs!$E$13,1,0)</f>
        <v>0</v>
      </c>
      <c r="G9" s="1">
        <f>IF(G7=Inputs!$E$13,1,0)</f>
        <v>0</v>
      </c>
      <c r="H9" s="1">
        <f>IF(H7=Inputs!$E$13,1,0)</f>
        <v>0</v>
      </c>
      <c r="I9" s="1">
        <f>IF(I7=Inputs!$E$13,1,0)</f>
        <v>1</v>
      </c>
      <c r="J9" s="1">
        <f>IF(J7=Inputs!$E$13,1,0)</f>
        <v>0</v>
      </c>
      <c r="K9" s="1">
        <f>IF(K7=Inputs!$E$13,1,0)</f>
        <v>0</v>
      </c>
      <c r="L9" s="1">
        <f>IF(L7=Inputs!$E$13,1,0)</f>
        <v>0</v>
      </c>
      <c r="M9" s="1">
        <f>IF(M7=Inputs!$E$13,1,0)</f>
        <v>0</v>
      </c>
      <c r="N9" s="1">
        <f>IF(N7=Inputs!$E$13,1,0)</f>
        <v>0</v>
      </c>
      <c r="O9" s="1">
        <f>IF(O7=Inputs!$E$13,1,0)</f>
        <v>0</v>
      </c>
      <c r="P9" s="1">
        <f>IF(P7=Inputs!$E$13,1,0)</f>
        <v>0</v>
      </c>
      <c r="Q9" s="1">
        <f>IF(Q7=Inputs!$E$13,1,0)</f>
        <v>0</v>
      </c>
      <c r="R9" s="1">
        <f>IF(R7=Inputs!$E$13,1,0)</f>
        <v>0</v>
      </c>
      <c r="S9" s="1">
        <f>IF(S7=Inputs!$E$13,1,0)</f>
        <v>0</v>
      </c>
      <c r="T9" s="1">
        <f>IF(T7=Inputs!$E$13,1,0)</f>
        <v>0</v>
      </c>
      <c r="U9" s="1">
        <f>IF(U7=Inputs!$E$13,1,0)</f>
        <v>0</v>
      </c>
      <c r="V9" s="1">
        <f>IF(V7=Inputs!$E$13,1,0)</f>
        <v>0</v>
      </c>
      <c r="W9" s="1">
        <f>IF(W7=Inputs!$E$13,1,0)</f>
        <v>0</v>
      </c>
      <c r="X9" s="1">
        <f>IF(X7=Inputs!$E$13,1,0)</f>
        <v>0</v>
      </c>
      <c r="Y9" s="1">
        <f>IF(Y7=Inputs!$E$13,1,0)</f>
        <v>0</v>
      </c>
      <c r="Z9" s="1">
        <f>IF(Z7=Inputs!$E$13,1,0)</f>
        <v>0</v>
      </c>
      <c r="AA9" s="1">
        <f>IF(AA7=Inputs!$E$13,1,0)</f>
        <v>0</v>
      </c>
      <c r="AB9" s="1">
        <f>IF(AB7=Inputs!$E$13,1,0)</f>
        <v>0</v>
      </c>
      <c r="AC9" s="1">
        <f>IF(AC7=Inputs!$E$13,1,0)</f>
        <v>0</v>
      </c>
      <c r="AD9" s="1">
        <f>IF(AD7=Inputs!$E$13,1,0)</f>
        <v>0</v>
      </c>
      <c r="AE9" s="1">
        <f>IF(AE7=Inputs!$E$13,1,0)</f>
        <v>0</v>
      </c>
      <c r="AF9" s="1">
        <f>IF(AF7=Inputs!$E$13,1,0)</f>
        <v>0</v>
      </c>
      <c r="AG9" s="1">
        <f>IF(AG7=Inputs!$E$13,1,0)</f>
        <v>0</v>
      </c>
      <c r="AH9" s="1">
        <f>IF(AH7=Inputs!$E$13,1,0)</f>
        <v>0</v>
      </c>
      <c r="AI9" s="1">
        <f>IF(AI7=Inputs!$E$13,1,0)</f>
        <v>0</v>
      </c>
      <c r="AJ9" s="1">
        <f>IF(AJ7=Inputs!$E$13,1,0)</f>
        <v>0</v>
      </c>
      <c r="AK9" s="1">
        <f>IF(AK7=Inputs!$E$13,1,0)</f>
        <v>0</v>
      </c>
      <c r="AL9" s="1">
        <f>IF(AL7=Inputs!$E$13,1,0)</f>
        <v>0</v>
      </c>
      <c r="AM9" s="1">
        <f>IF(AM7=Inputs!$E$13,1,0)</f>
        <v>0</v>
      </c>
      <c r="AN9" s="1">
        <f>IF(AN7=Inputs!$E$13,1,0)</f>
        <v>0</v>
      </c>
      <c r="AO9" s="1">
        <f>IF(AO7=Inputs!$E$13,1,0)</f>
        <v>0</v>
      </c>
      <c r="AP9" s="1">
        <f>IF(AP7=Inputs!$E$13,1,0)</f>
        <v>0</v>
      </c>
      <c r="AQ9" s="1">
        <f>IF(AQ7=Inputs!$E$13,1,0)</f>
        <v>0</v>
      </c>
      <c r="AR9" s="1">
        <f>IF(AR7=Inputs!$E$13,1,0)</f>
        <v>0</v>
      </c>
    </row>
    <row r="10" spans="1:44">
      <c r="B10" s="1" t="s">
        <v>208</v>
      </c>
      <c r="C10" s="22" t="s">
        <v>56</v>
      </c>
      <c r="F10" s="1">
        <f t="shared" ref="F10:H10" si="4">F7-$I$7+1</f>
        <v>-2</v>
      </c>
      <c r="G10" s="1">
        <f t="shared" si="4"/>
        <v>-1</v>
      </c>
      <c r="H10" s="1">
        <f t="shared" si="4"/>
        <v>0</v>
      </c>
      <c r="I10" s="1">
        <f>I7-$I$7+1</f>
        <v>1</v>
      </c>
      <c r="J10" s="1">
        <f t="shared" ref="J10:AR10" si="5">J7-$I$7+1</f>
        <v>2</v>
      </c>
      <c r="K10" s="1">
        <f t="shared" si="5"/>
        <v>3</v>
      </c>
      <c r="L10" s="1">
        <f t="shared" si="5"/>
        <v>4</v>
      </c>
      <c r="M10" s="1">
        <f t="shared" si="5"/>
        <v>5</v>
      </c>
      <c r="N10" s="1">
        <f t="shared" si="5"/>
        <v>6</v>
      </c>
      <c r="O10" s="1">
        <f t="shared" si="5"/>
        <v>7</v>
      </c>
      <c r="P10" s="1">
        <f t="shared" si="5"/>
        <v>8</v>
      </c>
      <c r="Q10" s="1">
        <f t="shared" si="5"/>
        <v>9</v>
      </c>
      <c r="R10" s="1">
        <f t="shared" si="5"/>
        <v>10</v>
      </c>
      <c r="S10" s="1">
        <f t="shared" si="5"/>
        <v>11</v>
      </c>
      <c r="T10" s="1">
        <f t="shared" si="5"/>
        <v>12</v>
      </c>
      <c r="U10" s="1">
        <f t="shared" si="5"/>
        <v>13</v>
      </c>
      <c r="V10" s="1">
        <f t="shared" si="5"/>
        <v>14</v>
      </c>
      <c r="W10" s="1">
        <f t="shared" si="5"/>
        <v>15</v>
      </c>
      <c r="X10" s="1">
        <f t="shared" si="5"/>
        <v>16</v>
      </c>
      <c r="Y10" s="1">
        <f t="shared" si="5"/>
        <v>17</v>
      </c>
      <c r="Z10" s="1">
        <f t="shared" si="5"/>
        <v>18</v>
      </c>
      <c r="AA10" s="1">
        <f t="shared" si="5"/>
        <v>19</v>
      </c>
      <c r="AB10" s="1">
        <f t="shared" si="5"/>
        <v>20</v>
      </c>
      <c r="AC10" s="1">
        <f t="shared" si="5"/>
        <v>21</v>
      </c>
      <c r="AD10" s="1">
        <f t="shared" si="5"/>
        <v>22</v>
      </c>
      <c r="AE10" s="1">
        <f t="shared" si="5"/>
        <v>23</v>
      </c>
      <c r="AF10" s="1">
        <f t="shared" si="5"/>
        <v>24</v>
      </c>
      <c r="AG10" s="1">
        <f t="shared" si="5"/>
        <v>25</v>
      </c>
      <c r="AH10" s="1">
        <f t="shared" si="5"/>
        <v>26</v>
      </c>
      <c r="AI10" s="1">
        <f t="shared" si="5"/>
        <v>27</v>
      </c>
      <c r="AJ10" s="1">
        <f t="shared" si="5"/>
        <v>28</v>
      </c>
      <c r="AK10" s="1">
        <f t="shared" si="5"/>
        <v>29</v>
      </c>
      <c r="AL10" s="1">
        <f t="shared" si="5"/>
        <v>30</v>
      </c>
      <c r="AM10" s="1">
        <f t="shared" si="5"/>
        <v>31</v>
      </c>
      <c r="AN10" s="1">
        <f t="shared" si="5"/>
        <v>32</v>
      </c>
      <c r="AO10" s="1">
        <f t="shared" si="5"/>
        <v>33</v>
      </c>
      <c r="AP10" s="1">
        <f t="shared" si="5"/>
        <v>34</v>
      </c>
      <c r="AQ10" s="1">
        <f t="shared" si="5"/>
        <v>35</v>
      </c>
      <c r="AR10" s="1">
        <f t="shared" si="5"/>
        <v>36</v>
      </c>
    </row>
    <row r="11" spans="1:44">
      <c r="B11" s="1" t="s">
        <v>209</v>
      </c>
      <c r="C11" s="22" t="s">
        <v>207</v>
      </c>
      <c r="F11" s="1">
        <f>IF(AND(F7&gt;=Inputs!$E$17,F7&lt;Inputs!$E$21),1,0)</f>
        <v>0</v>
      </c>
      <c r="G11" s="1">
        <f>IF(AND(G7&gt;=Inputs!$E$17,G7&lt;Inputs!$E$21),1,0)</f>
        <v>0</v>
      </c>
      <c r="H11" s="1">
        <f>IF(AND(H7&gt;=Inputs!$E$17,H7&lt;Inputs!$E$21),1,0)</f>
        <v>0</v>
      </c>
      <c r="I11" s="1">
        <f>IF(AND(I7&gt;=Inputs!$E$17,I7&lt;Inputs!$E$21),1,0)</f>
        <v>0</v>
      </c>
      <c r="J11" s="1">
        <f>IF(AND(J7&gt;=Inputs!$E$17,J7&lt;Inputs!$E$21),1,0)</f>
        <v>0</v>
      </c>
      <c r="K11" s="1">
        <f>IF(AND(K7&gt;=Inputs!$E$17,K7&lt;Inputs!$E$21),1,0)</f>
        <v>0</v>
      </c>
      <c r="L11" s="1">
        <f>IF(AND(L7&gt;=Inputs!$E$17,L7&lt;Inputs!$E$21),1,0)</f>
        <v>0</v>
      </c>
      <c r="M11" s="1">
        <f>IF(AND(M7&gt;=Inputs!$E$17,M7&lt;Inputs!$E$21),1,0)</f>
        <v>0</v>
      </c>
      <c r="N11" s="1">
        <f>IF(AND(N7&gt;=Inputs!$E$17,N7&lt;Inputs!$E$21),1,0)</f>
        <v>0</v>
      </c>
      <c r="O11" s="1">
        <f>IF(AND(O7&gt;=Inputs!$E$17,O7&lt;Inputs!$E$21),1,0)</f>
        <v>1</v>
      </c>
      <c r="P11" s="1">
        <f>IF(AND(P7&gt;=Inputs!$E$17,P7&lt;Inputs!$E$21),1,0)</f>
        <v>1</v>
      </c>
      <c r="Q11" s="1">
        <f>IF(AND(Q7&gt;=Inputs!$E$17,Q7&lt;Inputs!$E$21),1,0)</f>
        <v>1</v>
      </c>
      <c r="R11" s="1">
        <f>IF(AND(R7&gt;=Inputs!$E$17,R7&lt;Inputs!$E$21),1,0)</f>
        <v>1</v>
      </c>
      <c r="S11" s="1">
        <f>IF(AND(S7&gt;=Inputs!$E$17,S7&lt;Inputs!$E$21),1,0)</f>
        <v>1</v>
      </c>
      <c r="T11" s="1">
        <f>IF(AND(T7&gt;=Inputs!$E$17,T7&lt;Inputs!$E$21),1,0)</f>
        <v>1</v>
      </c>
      <c r="U11" s="1">
        <f>IF(AND(U7&gt;=Inputs!$E$17,U7&lt;Inputs!$E$21),1,0)</f>
        <v>1</v>
      </c>
      <c r="V11" s="1">
        <f>IF(AND(V7&gt;=Inputs!$E$17,V7&lt;Inputs!$E$21),1,0)</f>
        <v>1</v>
      </c>
      <c r="W11" s="1">
        <f>IF(AND(W7&gt;=Inputs!$E$17,W7&lt;Inputs!$E$21),1,0)</f>
        <v>1</v>
      </c>
      <c r="X11" s="1">
        <f>IF(AND(X7&gt;=Inputs!$E$17,X7&lt;Inputs!$E$21),1,0)</f>
        <v>1</v>
      </c>
      <c r="Y11" s="1">
        <f>IF(AND(Y7&gt;=Inputs!$E$17,Y7&lt;Inputs!$E$21),1,0)</f>
        <v>1</v>
      </c>
      <c r="Z11" s="1">
        <f>IF(AND(Z7&gt;=Inputs!$E$17,Z7&lt;Inputs!$E$21),1,0)</f>
        <v>1</v>
      </c>
      <c r="AA11" s="1">
        <f>IF(AND(AA7&gt;=Inputs!$E$17,AA7&lt;Inputs!$E$21),1,0)</f>
        <v>1</v>
      </c>
      <c r="AB11" s="1">
        <f>IF(AND(AB7&gt;=Inputs!$E$17,AB7&lt;Inputs!$E$21),1,0)</f>
        <v>1</v>
      </c>
      <c r="AC11" s="1">
        <f>IF(AND(AC7&gt;=Inputs!$E$17,AC7&lt;Inputs!$E$21),1,0)</f>
        <v>1</v>
      </c>
      <c r="AD11" s="1">
        <f>IF(AND(AD7&gt;=Inputs!$E$17,AD7&lt;Inputs!$E$21),1,0)</f>
        <v>1</v>
      </c>
      <c r="AE11" s="1">
        <f>IF(AND(AE7&gt;=Inputs!$E$17,AE7&lt;Inputs!$E$21),1,0)</f>
        <v>1</v>
      </c>
      <c r="AF11" s="1">
        <f>IF(AND(AF7&gt;=Inputs!$E$17,AF7&lt;Inputs!$E$21),1,0)</f>
        <v>1</v>
      </c>
      <c r="AG11" s="1">
        <f>IF(AND(AG7&gt;=Inputs!$E$17,AG7&lt;Inputs!$E$21),1,0)</f>
        <v>1</v>
      </c>
      <c r="AH11" s="1">
        <f>IF(AND(AH7&gt;=Inputs!$E$17,AH7&lt;Inputs!$E$21),1,0)</f>
        <v>1</v>
      </c>
      <c r="AI11" s="1">
        <f>IF(AND(AI7&gt;=Inputs!$E$17,AI7&lt;Inputs!$E$21),1,0)</f>
        <v>0</v>
      </c>
      <c r="AJ11" s="1">
        <f>IF(AND(AJ7&gt;=Inputs!$E$17,AJ7&lt;Inputs!$E$21),1,0)</f>
        <v>0</v>
      </c>
      <c r="AK11" s="1">
        <f>IF(AND(AK7&gt;=Inputs!$E$17,AK7&lt;Inputs!$E$21),1,0)</f>
        <v>0</v>
      </c>
      <c r="AL11" s="1">
        <f>IF(AND(AL7&gt;=Inputs!$E$17,AL7&lt;Inputs!$E$21),1,0)</f>
        <v>0</v>
      </c>
      <c r="AM11" s="1">
        <f>IF(AND(AM7&gt;=Inputs!$E$17,AM7&lt;Inputs!$E$21),1,0)</f>
        <v>0</v>
      </c>
      <c r="AN11" s="1">
        <f>IF(AND(AN7&gt;=Inputs!$E$17,AN7&lt;Inputs!$E$21),1,0)</f>
        <v>0</v>
      </c>
      <c r="AO11" s="1">
        <f>IF(AND(AO7&gt;=Inputs!$E$17,AO7&lt;Inputs!$E$21),1,0)</f>
        <v>0</v>
      </c>
      <c r="AP11" s="1">
        <f>IF(AND(AP7&gt;=Inputs!$E$17,AP7&lt;Inputs!$E$21),1,0)</f>
        <v>0</v>
      </c>
      <c r="AQ11" s="1">
        <f>IF(AND(AQ7&gt;=Inputs!$E$17,AQ7&lt;Inputs!$E$21),1,0)</f>
        <v>0</v>
      </c>
      <c r="AR11" s="1">
        <f>IF(AND(AR7&gt;=Inputs!$E$17,AR7&lt;Inputs!$E$21),1,0)</f>
        <v>0</v>
      </c>
    </row>
    <row r="12" spans="1:44" ht="15">
      <c r="A12" s="2" t="s">
        <v>210</v>
      </c>
      <c r="C12" s="22"/>
    </row>
    <row r="13" spans="1:44">
      <c r="B13" s="1" t="s">
        <v>211</v>
      </c>
      <c r="C13" s="22" t="s">
        <v>49</v>
      </c>
      <c r="F13" s="1">
        <f>(F11+D13)*F11</f>
        <v>0</v>
      </c>
      <c r="G13" s="1">
        <f t="shared" ref="G13:AG13" si="6">(G11+F13)*G11</f>
        <v>0</v>
      </c>
      <c r="H13" s="1">
        <f t="shared" si="6"/>
        <v>0</v>
      </c>
      <c r="I13" s="1">
        <f t="shared" si="6"/>
        <v>0</v>
      </c>
      <c r="J13" s="1">
        <f t="shared" si="6"/>
        <v>0</v>
      </c>
      <c r="K13" s="1">
        <f t="shared" si="6"/>
        <v>0</v>
      </c>
      <c r="L13" s="1">
        <f t="shared" si="6"/>
        <v>0</v>
      </c>
      <c r="M13" s="1">
        <f t="shared" si="6"/>
        <v>0</v>
      </c>
      <c r="N13" s="1">
        <f t="shared" si="6"/>
        <v>0</v>
      </c>
      <c r="O13" s="1">
        <f t="shared" si="6"/>
        <v>1</v>
      </c>
      <c r="P13" s="1">
        <f t="shared" si="6"/>
        <v>2</v>
      </c>
      <c r="Q13" s="1">
        <f t="shared" si="6"/>
        <v>3</v>
      </c>
      <c r="R13" s="1">
        <f t="shared" si="6"/>
        <v>4</v>
      </c>
      <c r="S13" s="1">
        <f t="shared" si="6"/>
        <v>5</v>
      </c>
      <c r="T13" s="1">
        <f t="shared" si="6"/>
        <v>6</v>
      </c>
      <c r="U13" s="1">
        <f t="shared" si="6"/>
        <v>7</v>
      </c>
      <c r="V13" s="1">
        <f t="shared" si="6"/>
        <v>8</v>
      </c>
      <c r="W13" s="1">
        <f t="shared" si="6"/>
        <v>9</v>
      </c>
      <c r="X13" s="1">
        <f t="shared" si="6"/>
        <v>10</v>
      </c>
      <c r="Y13" s="1">
        <f t="shared" si="6"/>
        <v>11</v>
      </c>
      <c r="Z13" s="1">
        <f t="shared" si="6"/>
        <v>12</v>
      </c>
      <c r="AA13" s="1">
        <f t="shared" si="6"/>
        <v>13</v>
      </c>
      <c r="AB13" s="1">
        <f t="shared" si="6"/>
        <v>14</v>
      </c>
      <c r="AC13" s="1">
        <f t="shared" si="6"/>
        <v>15</v>
      </c>
      <c r="AD13" s="1">
        <f t="shared" si="6"/>
        <v>16</v>
      </c>
      <c r="AE13" s="1">
        <f t="shared" si="6"/>
        <v>17</v>
      </c>
      <c r="AF13" s="1">
        <f t="shared" si="6"/>
        <v>18</v>
      </c>
      <c r="AG13" s="1">
        <f t="shared" si="6"/>
        <v>19</v>
      </c>
      <c r="AH13" s="1">
        <f>(AH11+AG13)*AH11</f>
        <v>20</v>
      </c>
      <c r="AI13" s="1">
        <f t="shared" ref="AI13:AR13" si="7">(AI11+AH13)*AI11</f>
        <v>0</v>
      </c>
      <c r="AJ13" s="1">
        <f t="shared" si="7"/>
        <v>0</v>
      </c>
      <c r="AK13" s="1">
        <f t="shared" si="7"/>
        <v>0</v>
      </c>
      <c r="AL13" s="1">
        <f t="shared" si="7"/>
        <v>0</v>
      </c>
      <c r="AM13" s="1">
        <f t="shared" si="7"/>
        <v>0</v>
      </c>
      <c r="AN13" s="1">
        <f t="shared" si="7"/>
        <v>0</v>
      </c>
      <c r="AO13" s="1">
        <f t="shared" si="7"/>
        <v>0</v>
      </c>
      <c r="AP13" s="1">
        <f t="shared" si="7"/>
        <v>0</v>
      </c>
      <c r="AQ13" s="1">
        <f t="shared" si="7"/>
        <v>0</v>
      </c>
      <c r="AR13" s="1">
        <f t="shared" si="7"/>
        <v>0</v>
      </c>
    </row>
    <row r="14" spans="1:44" ht="15">
      <c r="A14" s="2" t="s">
        <v>9</v>
      </c>
      <c r="C14" s="22"/>
    </row>
    <row r="15" spans="1:44">
      <c r="B15" s="1" t="s">
        <v>65</v>
      </c>
      <c r="C15" s="22" t="s">
        <v>49</v>
      </c>
      <c r="D15" s="73">
        <f>Inputs!E24</f>
        <v>0</v>
      </c>
      <c r="E15" s="73"/>
      <c r="F15" s="3">
        <f>1/(1+$D15)^(F$10-1)</f>
        <v>1</v>
      </c>
      <c r="G15" s="3">
        <f t="shared" ref="G15:AR15" si="8">1/(1+$D15)^(G$10-1)</f>
        <v>1</v>
      </c>
      <c r="H15" s="3">
        <f t="shared" si="8"/>
        <v>1</v>
      </c>
      <c r="I15" s="3">
        <f t="shared" si="8"/>
        <v>1</v>
      </c>
      <c r="J15" s="3">
        <f t="shared" si="8"/>
        <v>1</v>
      </c>
      <c r="K15" s="3">
        <f t="shared" si="8"/>
        <v>1</v>
      </c>
      <c r="L15" s="3">
        <f t="shared" si="8"/>
        <v>1</v>
      </c>
      <c r="M15" s="3">
        <f t="shared" si="8"/>
        <v>1</v>
      </c>
      <c r="N15" s="3">
        <f t="shared" si="8"/>
        <v>1</v>
      </c>
      <c r="O15" s="3">
        <f t="shared" si="8"/>
        <v>1</v>
      </c>
      <c r="P15" s="3">
        <f t="shared" si="8"/>
        <v>1</v>
      </c>
      <c r="Q15" s="3">
        <f t="shared" si="8"/>
        <v>1</v>
      </c>
      <c r="R15" s="3">
        <f t="shared" si="8"/>
        <v>1</v>
      </c>
      <c r="S15" s="3">
        <f t="shared" si="8"/>
        <v>1</v>
      </c>
      <c r="T15" s="3">
        <f t="shared" si="8"/>
        <v>1</v>
      </c>
      <c r="U15" s="3">
        <f t="shared" si="8"/>
        <v>1</v>
      </c>
      <c r="V15" s="3">
        <f t="shared" si="8"/>
        <v>1</v>
      </c>
      <c r="W15" s="3">
        <f t="shared" si="8"/>
        <v>1</v>
      </c>
      <c r="X15" s="3">
        <f t="shared" si="8"/>
        <v>1</v>
      </c>
      <c r="Y15" s="3">
        <f t="shared" si="8"/>
        <v>1</v>
      </c>
      <c r="Z15" s="3">
        <f t="shared" si="8"/>
        <v>1</v>
      </c>
      <c r="AA15" s="3">
        <f t="shared" si="8"/>
        <v>1</v>
      </c>
      <c r="AB15" s="3">
        <f t="shared" si="8"/>
        <v>1</v>
      </c>
      <c r="AC15" s="3">
        <f t="shared" si="8"/>
        <v>1</v>
      </c>
      <c r="AD15" s="3">
        <f t="shared" si="8"/>
        <v>1</v>
      </c>
      <c r="AE15" s="3">
        <f t="shared" si="8"/>
        <v>1</v>
      </c>
      <c r="AF15" s="3">
        <f t="shared" si="8"/>
        <v>1</v>
      </c>
      <c r="AG15" s="3">
        <f t="shared" si="8"/>
        <v>1</v>
      </c>
      <c r="AH15" s="3">
        <f t="shared" si="8"/>
        <v>1</v>
      </c>
      <c r="AI15" s="3">
        <f t="shared" si="8"/>
        <v>1</v>
      </c>
      <c r="AJ15" s="3">
        <f t="shared" si="8"/>
        <v>1</v>
      </c>
      <c r="AK15" s="3">
        <f t="shared" si="8"/>
        <v>1</v>
      </c>
      <c r="AL15" s="3">
        <f t="shared" si="8"/>
        <v>1</v>
      </c>
      <c r="AM15" s="3">
        <f t="shared" si="8"/>
        <v>1</v>
      </c>
      <c r="AN15" s="3">
        <f t="shared" si="8"/>
        <v>1</v>
      </c>
      <c r="AO15" s="3">
        <f t="shared" si="8"/>
        <v>1</v>
      </c>
      <c r="AP15" s="3">
        <f t="shared" si="8"/>
        <v>1</v>
      </c>
      <c r="AQ15" s="3">
        <f t="shared" si="8"/>
        <v>1</v>
      </c>
      <c r="AR15" s="3">
        <f t="shared" si="8"/>
        <v>1</v>
      </c>
    </row>
    <row r="16" spans="1:44">
      <c r="B16" s="1" t="s">
        <v>67</v>
      </c>
      <c r="C16" s="22" t="s">
        <v>49</v>
      </c>
      <c r="D16" s="73">
        <f>Inputs!E25</f>
        <v>0.03</v>
      </c>
      <c r="E16" s="73"/>
      <c r="F16" s="3">
        <f t="shared" ref="F16:G16" si="9">MIN(1,IF(F10=0,1,1/(1+$D16)^(F$10-1)))</f>
        <v>1</v>
      </c>
      <c r="G16" s="3">
        <f t="shared" si="9"/>
        <v>1</v>
      </c>
      <c r="H16" s="3">
        <f>MIN(1,IF(H10=0,1,1/(1+$D16)^(H$10-1)))</f>
        <v>1</v>
      </c>
      <c r="I16" s="3">
        <f t="shared" ref="I16:AR16" si="10">MIN(1,IF(I10=0,1,1/(1+$D16)^(I$10-1)))</f>
        <v>1</v>
      </c>
      <c r="J16" s="3">
        <f t="shared" si="10"/>
        <v>0.970873786407767</v>
      </c>
      <c r="K16" s="3">
        <f t="shared" si="10"/>
        <v>0.94259590913375435</v>
      </c>
      <c r="L16" s="3">
        <f t="shared" si="10"/>
        <v>0.91514165935315961</v>
      </c>
      <c r="M16" s="3">
        <f t="shared" si="10"/>
        <v>0.888487047915689</v>
      </c>
      <c r="N16" s="3">
        <f t="shared" si="10"/>
        <v>0.86260878438416411</v>
      </c>
      <c r="O16" s="3">
        <f t="shared" si="10"/>
        <v>0.83748425668365445</v>
      </c>
      <c r="P16" s="3">
        <f t="shared" si="10"/>
        <v>0.81309151134335378</v>
      </c>
      <c r="Q16" s="3">
        <f t="shared" si="10"/>
        <v>0.78940923431393573</v>
      </c>
      <c r="R16" s="3">
        <f t="shared" si="10"/>
        <v>0.76641673234362695</v>
      </c>
      <c r="S16" s="3">
        <f t="shared" si="10"/>
        <v>0.74409391489672516</v>
      </c>
      <c r="T16" s="3">
        <f t="shared" si="10"/>
        <v>0.72242127659876232</v>
      </c>
      <c r="U16" s="3">
        <f t="shared" si="10"/>
        <v>0.70137988019297326</v>
      </c>
      <c r="V16" s="3">
        <f t="shared" si="10"/>
        <v>0.68095133999317792</v>
      </c>
      <c r="W16" s="3">
        <f t="shared" si="10"/>
        <v>0.66111780581861923</v>
      </c>
      <c r="X16" s="3">
        <f t="shared" si="10"/>
        <v>0.64186194739671765</v>
      </c>
      <c r="Y16" s="3">
        <f t="shared" si="10"/>
        <v>0.62316693922011435</v>
      </c>
      <c r="Z16" s="3">
        <f t="shared" si="10"/>
        <v>0.60501644584477121</v>
      </c>
      <c r="AA16" s="3">
        <f t="shared" si="10"/>
        <v>0.5873946076162827</v>
      </c>
      <c r="AB16" s="3">
        <f t="shared" si="10"/>
        <v>0.57028602681192497</v>
      </c>
      <c r="AC16" s="3">
        <f t="shared" si="10"/>
        <v>0.55367575418633497</v>
      </c>
      <c r="AD16" s="3">
        <f t="shared" si="10"/>
        <v>0.5375492759090631</v>
      </c>
      <c r="AE16" s="3">
        <f t="shared" si="10"/>
        <v>0.52189250088258554</v>
      </c>
      <c r="AF16" s="3">
        <f t="shared" si="10"/>
        <v>0.50669174842969467</v>
      </c>
      <c r="AG16" s="3">
        <f t="shared" si="10"/>
        <v>0.49193373633950943</v>
      </c>
      <c r="AH16" s="3">
        <f t="shared" si="10"/>
        <v>0.47760556926165965</v>
      </c>
      <c r="AI16" s="3">
        <f t="shared" si="10"/>
        <v>0.46369472743850448</v>
      </c>
      <c r="AJ16" s="3">
        <f t="shared" si="10"/>
        <v>0.45018905576553836</v>
      </c>
      <c r="AK16" s="3">
        <f t="shared" si="10"/>
        <v>0.4370767531704256</v>
      </c>
      <c r="AL16" s="3">
        <f t="shared" si="10"/>
        <v>0.42434636230138412</v>
      </c>
      <c r="AM16" s="3">
        <f t="shared" si="10"/>
        <v>0.41198675951590691</v>
      </c>
      <c r="AN16" s="3">
        <f t="shared" si="10"/>
        <v>0.39998714516107459</v>
      </c>
      <c r="AO16" s="3">
        <f t="shared" si="10"/>
        <v>0.38833703413696569</v>
      </c>
      <c r="AP16" s="3">
        <f t="shared" si="10"/>
        <v>0.37702624673491814</v>
      </c>
      <c r="AQ16" s="3">
        <f t="shared" si="10"/>
        <v>0.36604489974263904</v>
      </c>
      <c r="AR16" s="3">
        <f t="shared" si="10"/>
        <v>0.35538339780838735</v>
      </c>
    </row>
    <row r="17" spans="1:44">
      <c r="B17" s="1" t="s">
        <v>68</v>
      </c>
      <c r="C17" s="22" t="s">
        <v>49</v>
      </c>
      <c r="D17" s="73">
        <f>Inputs!E26</f>
        <v>7.0000000000000007E-2</v>
      </c>
      <c r="E17" s="73"/>
      <c r="F17" s="3">
        <f t="shared" ref="F17:G17" si="11">MIN(1,IF(F10=0,1,1/(1+$D17)^(F$10-1)))</f>
        <v>1</v>
      </c>
      <c r="G17" s="3">
        <f t="shared" si="11"/>
        <v>1</v>
      </c>
      <c r="H17" s="3">
        <f>MIN(1,IF(H10=0,1,1/(1+$D17)^(H$10-1)))</f>
        <v>1</v>
      </c>
      <c r="I17" s="3">
        <f t="shared" ref="I17:AR17" si="12">MIN(1,IF(I10=0,1,1/(1+$D17)^(I$10-1)))</f>
        <v>1</v>
      </c>
      <c r="J17" s="3">
        <f t="shared" si="12"/>
        <v>0.93457943925233644</v>
      </c>
      <c r="K17" s="3">
        <f t="shared" si="12"/>
        <v>0.87343872827321156</v>
      </c>
      <c r="L17" s="3">
        <f t="shared" si="12"/>
        <v>0.81629787689085187</v>
      </c>
      <c r="M17" s="3">
        <f t="shared" si="12"/>
        <v>0.7628952120475252</v>
      </c>
      <c r="N17" s="3">
        <f t="shared" si="12"/>
        <v>0.71298617948366838</v>
      </c>
      <c r="O17" s="3">
        <f t="shared" si="12"/>
        <v>0.66634222381651254</v>
      </c>
      <c r="P17" s="3">
        <f t="shared" si="12"/>
        <v>0.62274974188459109</v>
      </c>
      <c r="Q17" s="3">
        <f t="shared" si="12"/>
        <v>0.5820091045650384</v>
      </c>
      <c r="R17" s="3">
        <f t="shared" si="12"/>
        <v>0.54393374258414806</v>
      </c>
      <c r="S17" s="3">
        <f t="shared" si="12"/>
        <v>0.5083492921347178</v>
      </c>
      <c r="T17" s="3">
        <f t="shared" si="12"/>
        <v>0.47509279638758667</v>
      </c>
      <c r="U17" s="3">
        <f t="shared" si="12"/>
        <v>0.44401195924073528</v>
      </c>
      <c r="V17" s="3">
        <f t="shared" si="12"/>
        <v>0.41496444788853759</v>
      </c>
      <c r="W17" s="3">
        <f t="shared" si="12"/>
        <v>0.3878172410173249</v>
      </c>
      <c r="X17" s="3">
        <f t="shared" si="12"/>
        <v>0.36244601964235967</v>
      </c>
      <c r="Y17" s="3">
        <f t="shared" si="12"/>
        <v>0.33873459779659787</v>
      </c>
      <c r="Z17" s="3">
        <f t="shared" si="12"/>
        <v>0.31657439046411018</v>
      </c>
      <c r="AA17" s="3">
        <f t="shared" si="12"/>
        <v>0.29586391632159825</v>
      </c>
      <c r="AB17" s="3">
        <f t="shared" si="12"/>
        <v>0.27650833301083949</v>
      </c>
      <c r="AC17" s="3">
        <f t="shared" si="12"/>
        <v>0.2584190028138687</v>
      </c>
      <c r="AD17" s="3">
        <f t="shared" si="12"/>
        <v>0.24151308674193336</v>
      </c>
      <c r="AE17" s="3">
        <f t="shared" si="12"/>
        <v>0.22571316517937698</v>
      </c>
      <c r="AF17" s="3">
        <f t="shared" si="12"/>
        <v>0.21094688334521211</v>
      </c>
      <c r="AG17" s="3">
        <f t="shared" si="12"/>
        <v>0.19714661994879637</v>
      </c>
      <c r="AH17" s="3">
        <f t="shared" si="12"/>
        <v>0.18424917752223957</v>
      </c>
      <c r="AI17" s="3">
        <f t="shared" si="12"/>
        <v>0.17219549301143888</v>
      </c>
      <c r="AJ17" s="3">
        <f t="shared" si="12"/>
        <v>0.16093036730041013</v>
      </c>
      <c r="AK17" s="3">
        <f t="shared" si="12"/>
        <v>0.15040221243028987</v>
      </c>
      <c r="AL17" s="3">
        <f t="shared" si="12"/>
        <v>0.1405628153554111</v>
      </c>
      <c r="AM17" s="3">
        <f t="shared" si="12"/>
        <v>0.13136711715458982</v>
      </c>
      <c r="AN17" s="3">
        <f t="shared" si="12"/>
        <v>0.1227730066865325</v>
      </c>
      <c r="AO17" s="3">
        <f t="shared" si="12"/>
        <v>0.11474112774442291</v>
      </c>
      <c r="AP17" s="3">
        <f t="shared" si="12"/>
        <v>0.10723469882656347</v>
      </c>
      <c r="AQ17" s="3">
        <f t="shared" si="12"/>
        <v>0.10021934469772288</v>
      </c>
      <c r="AR17" s="3">
        <f t="shared" si="12"/>
        <v>9.366293896983445E-2</v>
      </c>
    </row>
    <row r="19" spans="1:44">
      <c r="B19" s="1" t="s">
        <v>212</v>
      </c>
      <c r="C19" s="1" t="s">
        <v>43</v>
      </c>
      <c r="D19" s="1" t="s">
        <v>44</v>
      </c>
    </row>
    <row r="20" spans="1:44" s="9" customFormat="1">
      <c r="A20" s="8" t="s">
        <v>213</v>
      </c>
    </row>
    <row r="21" spans="1:44" ht="15">
      <c r="A21" s="2" t="s">
        <v>243</v>
      </c>
    </row>
    <row r="22" spans="1:44">
      <c r="B22" s="1" t="str">
        <f>Traffic!B27</f>
        <v>Total Vehicular Traffic</v>
      </c>
      <c r="C22" s="292" t="s">
        <v>101</v>
      </c>
      <c r="D22" s="86">
        <f t="shared" ref="D22" si="13">SUM(F22:AR22)</f>
        <v>985873.22936411866</v>
      </c>
      <c r="F22" s="19">
        <f>Traffic!F27</f>
        <v>18157.5576510354</v>
      </c>
      <c r="G22" s="19">
        <f>Traffic!G27</f>
        <v>18459.814285905384</v>
      </c>
      <c r="H22" s="19">
        <f>Traffic!H27</f>
        <v>18767.102383435638</v>
      </c>
      <c r="I22" s="19">
        <f>Traffic!I27</f>
        <v>19079.505698996873</v>
      </c>
      <c r="J22" s="19">
        <f>Traffic!J27</f>
        <v>19397.109382179045</v>
      </c>
      <c r="K22" s="19">
        <f>Traffic!K27</f>
        <v>19720</v>
      </c>
      <c r="L22" s="19">
        <f>Traffic!L27</f>
        <v>20048.265560500433</v>
      </c>
      <c r="M22" s="19">
        <f>Traffic!M27</f>
        <v>20381.995536731629</v>
      </c>
      <c r="N22" s="19">
        <f>Traffic!N27</f>
        <v>20721.280891142509</v>
      </c>
      <c r="O22" s="19">
        <f>Traffic!O27</f>
        <v>21066.214100372621</v>
      </c>
      <c r="P22" s="19">
        <f>Traffic!P27</f>
        <v>21416.889180457863</v>
      </c>
      <c r="Q22" s="19">
        <f>Traffic!Q27</f>
        <v>21773.401712455769</v>
      </c>
      <c r="R22" s="19">
        <f>Traffic!R27</f>
        <v>22135.848868497371</v>
      </c>
      <c r="S22" s="19">
        <f>Traffic!S27</f>
        <v>22504.329438272736</v>
      </c>
      <c r="T22" s="19">
        <f>Traffic!T27</f>
        <v>22878.943855957372</v>
      </c>
      <c r="U22" s="19">
        <f>Traffic!U27</f>
        <v>23259.794227586874</v>
      </c>
      <c r="V22" s="19">
        <f>Traffic!V27</f>
        <v>23646.984358887257</v>
      </c>
      <c r="W22" s="19">
        <f>Traffic!W27</f>
        <v>24040.619783568553</v>
      </c>
      <c r="X22" s="19">
        <f>Traffic!X27</f>
        <v>24440.807792089392</v>
      </c>
      <c r="Y22" s="19">
        <f>Traffic!Y27</f>
        <v>24847.657460900427</v>
      </c>
      <c r="Z22" s="19">
        <f>Traffic!Z27</f>
        <v>25261.279682174529</v>
      </c>
      <c r="AA22" s="19">
        <f>Traffic!AA27</f>
        <v>25681.787194031895</v>
      </c>
      <c r="AB22" s="19">
        <f>Traffic!AB27</f>
        <v>26109.294611268291</v>
      </c>
      <c r="AC22" s="19">
        <f>Traffic!AC27</f>
        <v>26543.918456594809</v>
      </c>
      <c r="AD22" s="19">
        <f>Traffic!AD27</f>
        <v>26985.777192397643</v>
      </c>
      <c r="AE22" s="19">
        <f>Traffic!AE27</f>
        <v>27434.991253026561</v>
      </c>
      <c r="AF22" s="19">
        <f>Traffic!AF27</f>
        <v>27891.683077620844</v>
      </c>
      <c r="AG22" s="19">
        <f>Traffic!AG27</f>
        <v>28355.977143481679</v>
      </c>
      <c r="AH22" s="19">
        <f>Traffic!AH27</f>
        <v>28828.000000000062</v>
      </c>
      <c r="AI22" s="19">
        <f>Traffic!AI27</f>
        <v>29307.880303149479</v>
      </c>
      <c r="AJ22" s="19">
        <f>Traffic!AJ27</f>
        <v>29795.748850552773</v>
      </c>
      <c r="AK22" s="19">
        <f>Traffic!AK27</f>
        <v>30291.738617132734</v>
      </c>
      <c r="AL22" s="19">
        <f>Traffic!AL27</f>
        <v>30795.984791356146</v>
      </c>
      <c r="AM22" s="19">
        <f>Traffic!AM27</f>
        <v>31308.624812081165</v>
      </c>
      <c r="AN22" s="19">
        <f>Traffic!AN27</f>
        <v>31829.798406018061</v>
      </c>
      <c r="AO22" s="19">
        <f>Traffic!AO27</f>
        <v>32359.647625813563</v>
      </c>
      <c r="AP22" s="19">
        <f>Traffic!AP27</f>
        <v>32898.31688876915</v>
      </c>
      <c r="AQ22" s="19">
        <f>Traffic!AQ27</f>
        <v>33445.953016203872</v>
      </c>
      <c r="AR22" s="19">
        <f>Traffic!AR27</f>
        <v>34002.705273472398</v>
      </c>
    </row>
    <row r="23" spans="1:44">
      <c r="C23" s="292"/>
      <c r="D23" s="86"/>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row>
    <row r="24" spans="1:44" ht="15">
      <c r="A24" s="2" t="s">
        <v>244</v>
      </c>
      <c r="C24" s="292"/>
      <c r="D24" s="86"/>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row>
    <row r="25" spans="1:44">
      <c r="B25" s="1" t="str">
        <f>'REF Accidents'!$B$9</f>
        <v>Non-incapacitating injuries or possible injury</v>
      </c>
      <c r="C25" s="292" t="s">
        <v>109</v>
      </c>
      <c r="D25" s="106">
        <f>Inputs!E57</f>
        <v>1.7777777777777777</v>
      </c>
      <c r="F25" s="20">
        <f t="shared" ref="F25:O27" si="14">IF(F$7=$D$28,$D25/F$22,0)</f>
        <v>0</v>
      </c>
      <c r="G25" s="20">
        <f t="shared" si="14"/>
        <v>0</v>
      </c>
      <c r="H25" s="20">
        <f t="shared" si="14"/>
        <v>0</v>
      </c>
      <c r="I25" s="20">
        <f t="shared" si="14"/>
        <v>9.317734986558097E-5</v>
      </c>
      <c r="J25" s="20">
        <f t="shared" si="14"/>
        <v>0</v>
      </c>
      <c r="K25" s="20">
        <f t="shared" si="14"/>
        <v>0</v>
      </c>
      <c r="L25" s="20">
        <f t="shared" si="14"/>
        <v>0</v>
      </c>
      <c r="M25" s="20">
        <f t="shared" si="14"/>
        <v>0</v>
      </c>
      <c r="N25" s="20">
        <f t="shared" si="14"/>
        <v>0</v>
      </c>
      <c r="O25" s="20">
        <f t="shared" si="14"/>
        <v>0</v>
      </c>
      <c r="P25" s="20">
        <f t="shared" ref="P25:Y27" si="15">IF(P$7=$D$28,$D25/P$22,0)</f>
        <v>0</v>
      </c>
      <c r="Q25" s="20">
        <f t="shared" si="15"/>
        <v>0</v>
      </c>
      <c r="R25" s="20">
        <f t="shared" si="15"/>
        <v>0</v>
      </c>
      <c r="S25" s="20">
        <f t="shared" si="15"/>
        <v>0</v>
      </c>
      <c r="T25" s="20">
        <f t="shared" si="15"/>
        <v>0</v>
      </c>
      <c r="U25" s="20">
        <f t="shared" si="15"/>
        <v>0</v>
      </c>
      <c r="V25" s="20">
        <f t="shared" si="15"/>
        <v>0</v>
      </c>
      <c r="W25" s="20">
        <f t="shared" si="15"/>
        <v>0</v>
      </c>
      <c r="X25" s="20">
        <f t="shared" si="15"/>
        <v>0</v>
      </c>
      <c r="Y25" s="20">
        <f t="shared" si="15"/>
        <v>0</v>
      </c>
      <c r="Z25" s="20">
        <f t="shared" ref="Z25:AI27" si="16">IF(Z$7=$D$28,$D25/Z$22,0)</f>
        <v>0</v>
      </c>
      <c r="AA25" s="20">
        <f t="shared" si="16"/>
        <v>0</v>
      </c>
      <c r="AB25" s="20">
        <f t="shared" si="16"/>
        <v>0</v>
      </c>
      <c r="AC25" s="20">
        <f t="shared" si="16"/>
        <v>0</v>
      </c>
      <c r="AD25" s="20">
        <f t="shared" si="16"/>
        <v>0</v>
      </c>
      <c r="AE25" s="20">
        <f t="shared" si="16"/>
        <v>0</v>
      </c>
      <c r="AF25" s="20">
        <f t="shared" si="16"/>
        <v>0</v>
      </c>
      <c r="AG25" s="20">
        <f t="shared" si="16"/>
        <v>0</v>
      </c>
      <c r="AH25" s="20">
        <f t="shared" si="16"/>
        <v>0</v>
      </c>
      <c r="AI25" s="20">
        <f t="shared" si="16"/>
        <v>0</v>
      </c>
      <c r="AJ25" s="20">
        <f t="shared" ref="AJ25:AR27" si="17">IF(AJ$7=$D$28,$D25/AJ$22,0)</f>
        <v>0</v>
      </c>
      <c r="AK25" s="20">
        <f t="shared" si="17"/>
        <v>0</v>
      </c>
      <c r="AL25" s="20">
        <f t="shared" si="17"/>
        <v>0</v>
      </c>
      <c r="AM25" s="20">
        <f t="shared" si="17"/>
        <v>0</v>
      </c>
      <c r="AN25" s="20">
        <f t="shared" si="17"/>
        <v>0</v>
      </c>
      <c r="AO25" s="20">
        <f t="shared" si="17"/>
        <v>0</v>
      </c>
      <c r="AP25" s="20">
        <f t="shared" si="17"/>
        <v>0</v>
      </c>
      <c r="AQ25" s="20">
        <f t="shared" si="17"/>
        <v>0</v>
      </c>
      <c r="AR25" s="20">
        <f t="shared" si="17"/>
        <v>0</v>
      </c>
    </row>
    <row r="26" spans="1:44">
      <c r="B26" s="1" t="str">
        <f>'REF Accidents'!$B$10</f>
        <v>PDO</v>
      </c>
      <c r="C26" s="292" t="s">
        <v>109</v>
      </c>
      <c r="D26" s="106">
        <f>Inputs!E58</f>
        <v>2</v>
      </c>
      <c r="F26" s="20">
        <f t="shared" si="14"/>
        <v>0</v>
      </c>
      <c r="G26" s="20">
        <f t="shared" si="14"/>
        <v>0</v>
      </c>
      <c r="H26" s="20">
        <f t="shared" si="14"/>
        <v>0</v>
      </c>
      <c r="I26" s="20">
        <f t="shared" si="14"/>
        <v>1.048245185987786E-4</v>
      </c>
      <c r="J26" s="20">
        <f t="shared" si="14"/>
        <v>0</v>
      </c>
      <c r="K26" s="20">
        <f t="shared" si="14"/>
        <v>0</v>
      </c>
      <c r="L26" s="20">
        <f t="shared" si="14"/>
        <v>0</v>
      </c>
      <c r="M26" s="20">
        <f t="shared" si="14"/>
        <v>0</v>
      </c>
      <c r="N26" s="20">
        <f t="shared" si="14"/>
        <v>0</v>
      </c>
      <c r="O26" s="20">
        <f t="shared" si="14"/>
        <v>0</v>
      </c>
      <c r="P26" s="20">
        <f t="shared" si="15"/>
        <v>0</v>
      </c>
      <c r="Q26" s="20">
        <f t="shared" si="15"/>
        <v>0</v>
      </c>
      <c r="R26" s="20">
        <f t="shared" si="15"/>
        <v>0</v>
      </c>
      <c r="S26" s="20">
        <f t="shared" si="15"/>
        <v>0</v>
      </c>
      <c r="T26" s="20">
        <f t="shared" si="15"/>
        <v>0</v>
      </c>
      <c r="U26" s="20">
        <f t="shared" si="15"/>
        <v>0</v>
      </c>
      <c r="V26" s="20">
        <f t="shared" si="15"/>
        <v>0</v>
      </c>
      <c r="W26" s="20">
        <f t="shared" si="15"/>
        <v>0</v>
      </c>
      <c r="X26" s="20">
        <f t="shared" si="15"/>
        <v>0</v>
      </c>
      <c r="Y26" s="20">
        <f t="shared" si="15"/>
        <v>0</v>
      </c>
      <c r="Z26" s="20">
        <f t="shared" si="16"/>
        <v>0</v>
      </c>
      <c r="AA26" s="20">
        <f t="shared" si="16"/>
        <v>0</v>
      </c>
      <c r="AB26" s="20">
        <f t="shared" si="16"/>
        <v>0</v>
      </c>
      <c r="AC26" s="20">
        <f t="shared" si="16"/>
        <v>0</v>
      </c>
      <c r="AD26" s="20">
        <f t="shared" si="16"/>
        <v>0</v>
      </c>
      <c r="AE26" s="20">
        <f t="shared" si="16"/>
        <v>0</v>
      </c>
      <c r="AF26" s="20">
        <f t="shared" si="16"/>
        <v>0</v>
      </c>
      <c r="AG26" s="20">
        <f t="shared" si="16"/>
        <v>0</v>
      </c>
      <c r="AH26" s="20">
        <f t="shared" si="16"/>
        <v>0</v>
      </c>
      <c r="AI26" s="20">
        <f t="shared" si="16"/>
        <v>0</v>
      </c>
      <c r="AJ26" s="20">
        <f t="shared" si="17"/>
        <v>0</v>
      </c>
      <c r="AK26" s="20">
        <f t="shared" si="17"/>
        <v>0</v>
      </c>
      <c r="AL26" s="20">
        <f t="shared" si="17"/>
        <v>0</v>
      </c>
      <c r="AM26" s="20">
        <f t="shared" si="17"/>
        <v>0</v>
      </c>
      <c r="AN26" s="20">
        <f t="shared" si="17"/>
        <v>0</v>
      </c>
      <c r="AO26" s="20">
        <f t="shared" si="17"/>
        <v>0</v>
      </c>
      <c r="AP26" s="20">
        <f t="shared" si="17"/>
        <v>0</v>
      </c>
      <c r="AQ26" s="20">
        <f t="shared" si="17"/>
        <v>0</v>
      </c>
      <c r="AR26" s="20">
        <f t="shared" si="17"/>
        <v>0</v>
      </c>
    </row>
    <row r="27" spans="1:44">
      <c r="B27" s="1" t="str">
        <f>'REF Accidents'!$B$11</f>
        <v>Total Crashes</v>
      </c>
      <c r="C27" s="292" t="s">
        <v>109</v>
      </c>
      <c r="D27" s="106">
        <f>Inputs!E59</f>
        <v>3.7777777777777777</v>
      </c>
      <c r="F27" s="20">
        <f t="shared" si="14"/>
        <v>0</v>
      </c>
      <c r="G27" s="20">
        <f t="shared" si="14"/>
        <v>0</v>
      </c>
      <c r="H27" s="20">
        <f t="shared" si="14"/>
        <v>0</v>
      </c>
      <c r="I27" s="20">
        <f t="shared" si="14"/>
        <v>1.9800186846435957E-4</v>
      </c>
      <c r="J27" s="20">
        <f t="shared" si="14"/>
        <v>0</v>
      </c>
      <c r="K27" s="20">
        <f t="shared" si="14"/>
        <v>0</v>
      </c>
      <c r="L27" s="20">
        <f t="shared" si="14"/>
        <v>0</v>
      </c>
      <c r="M27" s="20">
        <f t="shared" si="14"/>
        <v>0</v>
      </c>
      <c r="N27" s="20">
        <f t="shared" si="14"/>
        <v>0</v>
      </c>
      <c r="O27" s="20">
        <f t="shared" si="14"/>
        <v>0</v>
      </c>
      <c r="P27" s="20">
        <f t="shared" si="15"/>
        <v>0</v>
      </c>
      <c r="Q27" s="20">
        <f t="shared" si="15"/>
        <v>0</v>
      </c>
      <c r="R27" s="20">
        <f t="shared" si="15"/>
        <v>0</v>
      </c>
      <c r="S27" s="20">
        <f t="shared" si="15"/>
        <v>0</v>
      </c>
      <c r="T27" s="20">
        <f t="shared" si="15"/>
        <v>0</v>
      </c>
      <c r="U27" s="20">
        <f t="shared" si="15"/>
        <v>0</v>
      </c>
      <c r="V27" s="20">
        <f t="shared" si="15"/>
        <v>0</v>
      </c>
      <c r="W27" s="20">
        <f t="shared" si="15"/>
        <v>0</v>
      </c>
      <c r="X27" s="20">
        <f t="shared" si="15"/>
        <v>0</v>
      </c>
      <c r="Y27" s="20">
        <f t="shared" si="15"/>
        <v>0</v>
      </c>
      <c r="Z27" s="20">
        <f t="shared" si="16"/>
        <v>0</v>
      </c>
      <c r="AA27" s="20">
        <f t="shared" si="16"/>
        <v>0</v>
      </c>
      <c r="AB27" s="20">
        <f t="shared" si="16"/>
        <v>0</v>
      </c>
      <c r="AC27" s="20">
        <f t="shared" si="16"/>
        <v>0</v>
      </c>
      <c r="AD27" s="20">
        <f t="shared" si="16"/>
        <v>0</v>
      </c>
      <c r="AE27" s="20">
        <f t="shared" si="16"/>
        <v>0</v>
      </c>
      <c r="AF27" s="20">
        <f t="shared" si="16"/>
        <v>0</v>
      </c>
      <c r="AG27" s="20">
        <f t="shared" si="16"/>
        <v>0</v>
      </c>
      <c r="AH27" s="20">
        <f t="shared" si="16"/>
        <v>0</v>
      </c>
      <c r="AI27" s="20">
        <f t="shared" si="16"/>
        <v>0</v>
      </c>
      <c r="AJ27" s="20">
        <f t="shared" si="17"/>
        <v>0</v>
      </c>
      <c r="AK27" s="20">
        <f t="shared" si="17"/>
        <v>0</v>
      </c>
      <c r="AL27" s="20">
        <f t="shared" si="17"/>
        <v>0</v>
      </c>
      <c r="AM27" s="20">
        <f t="shared" si="17"/>
        <v>0</v>
      </c>
      <c r="AN27" s="20">
        <f t="shared" si="17"/>
        <v>0</v>
      </c>
      <c r="AO27" s="20">
        <f t="shared" si="17"/>
        <v>0</v>
      </c>
      <c r="AP27" s="20">
        <f t="shared" si="17"/>
        <v>0</v>
      </c>
      <c r="AQ27" s="20">
        <f t="shared" si="17"/>
        <v>0</v>
      </c>
      <c r="AR27" s="20">
        <f t="shared" si="17"/>
        <v>0</v>
      </c>
    </row>
    <row r="28" spans="1:44">
      <c r="B28" s="1" t="str">
        <f>'REF Accidents'!$B$11</f>
        <v>Total Crashes</v>
      </c>
      <c r="C28" s="292" t="s">
        <v>49</v>
      </c>
      <c r="D28" s="23">
        <f>Inputs!E60</f>
        <v>2021</v>
      </c>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row>
    <row r="29" spans="1:44">
      <c r="C29" s="292"/>
      <c r="D29" s="20"/>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row>
    <row r="30" spans="1:44" ht="15">
      <c r="A30" s="2" t="s">
        <v>245</v>
      </c>
      <c r="C30" s="292"/>
      <c r="D30" s="86"/>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row>
    <row r="31" spans="1:44">
      <c r="B31" s="1" t="s">
        <v>113</v>
      </c>
      <c r="C31" s="292" t="s">
        <v>109</v>
      </c>
      <c r="D31" s="108">
        <f>SUM(F25:AR25)</f>
        <v>9.317734986558097E-5</v>
      </c>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row>
    <row r="32" spans="1:44">
      <c r="B32" s="1" t="s">
        <v>116</v>
      </c>
      <c r="C32" s="292" t="s">
        <v>109</v>
      </c>
      <c r="D32" s="108">
        <f>SUM(F26:AR26)</f>
        <v>1.048245185987786E-4</v>
      </c>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row>
    <row r="33" spans="1:44">
      <c r="B33" s="1" t="s">
        <v>246</v>
      </c>
      <c r="C33" s="292" t="s">
        <v>247</v>
      </c>
      <c r="D33" s="108">
        <f>SUM(F27:AR27)</f>
        <v>1.9800186846435957E-4</v>
      </c>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row>
    <row r="34" spans="1:44">
      <c r="C34" s="292"/>
      <c r="D34" s="20"/>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row>
    <row r="35" spans="1:44" ht="15">
      <c r="A35" s="2" t="s">
        <v>248</v>
      </c>
      <c r="C35" s="292"/>
      <c r="D35" s="20"/>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row>
    <row r="36" spans="1:44">
      <c r="B36" s="1" t="s">
        <v>113</v>
      </c>
      <c r="C36" s="292" t="s">
        <v>114</v>
      </c>
      <c r="D36" s="5">
        <f>Inputs!$E$61</f>
        <v>153700</v>
      </c>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row>
    <row r="37" spans="1:44">
      <c r="B37" s="1" t="s">
        <v>116</v>
      </c>
      <c r="C37" s="292" t="s">
        <v>114</v>
      </c>
      <c r="D37" s="5">
        <f>Inputs!$E$62</f>
        <v>4800</v>
      </c>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row>
    <row r="38" spans="1:44">
      <c r="C38" s="292"/>
      <c r="D38" s="20"/>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row>
    <row r="39" spans="1:44" ht="15">
      <c r="A39" s="2" t="s">
        <v>249</v>
      </c>
      <c r="C39" s="292"/>
      <c r="D39" s="86"/>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row>
    <row r="40" spans="1:44" ht="15">
      <c r="A40" s="2"/>
      <c r="B40" s="1" t="s">
        <v>113</v>
      </c>
      <c r="C40" s="292" t="s">
        <v>250</v>
      </c>
      <c r="D40" s="86">
        <f>SUM(F40:AR40)</f>
        <v>91.861054815570654</v>
      </c>
      <c r="F40" s="19">
        <f t="shared" ref="F40:AR40" si="18">$D$31*F22</f>
        <v>1.691873101954982</v>
      </c>
      <c r="G40" s="19">
        <f t="shared" si="18"/>
        <v>1.7200365741714556</v>
      </c>
      <c r="H40" s="19">
        <f t="shared" si="18"/>
        <v>1.748668864744561</v>
      </c>
      <c r="I40" s="19">
        <f t="shared" si="18"/>
        <v>1.7777777777777777</v>
      </c>
      <c r="J40" s="19">
        <f t="shared" si="18"/>
        <v>1.80737124728424</v>
      </c>
      <c r="K40" s="19">
        <f t="shared" si="18"/>
        <v>1.8374573393492568</v>
      </c>
      <c r="L40" s="19">
        <f t="shared" si="18"/>
        <v>1.8680442543288267</v>
      </c>
      <c r="M40" s="19">
        <f t="shared" si="18"/>
        <v>1.8991403290847528</v>
      </c>
      <c r="N40" s="19">
        <f t="shared" si="18"/>
        <v>1.9307540392569631</v>
      </c>
      <c r="O40" s="19">
        <f t="shared" si="18"/>
        <v>1.9628940015736547</v>
      </c>
      <c r="P40" s="19">
        <f t="shared" si="18"/>
        <v>1.995568976199898</v>
      </c>
      <c r="Q40" s="19">
        <f t="shared" si="18"/>
        <v>2.0287878691253312</v>
      </c>
      <c r="R40" s="19">
        <f t="shared" si="18"/>
        <v>2.0625597345916042</v>
      </c>
      <c r="S40" s="19">
        <f t="shared" si="18"/>
        <v>2.0968937775602319</v>
      </c>
      <c r="T40" s="19">
        <f t="shared" si="18"/>
        <v>2.1317993562215243</v>
      </c>
      <c r="U40" s="19">
        <f t="shared" si="18"/>
        <v>2.1672859845452828</v>
      </c>
      <c r="V40" s="19">
        <f t="shared" si="18"/>
        <v>2.2033633348739587</v>
      </c>
      <c r="W40" s="19">
        <f t="shared" si="18"/>
        <v>2.2400412405589747</v>
      </c>
      <c r="X40" s="19">
        <f t="shared" si="18"/>
        <v>2.2773296986409308</v>
      </c>
      <c r="Y40" s="19">
        <f t="shared" si="18"/>
        <v>2.3152388725744326</v>
      </c>
      <c r="Z40" s="19">
        <f t="shared" si="18"/>
        <v>2.3537790949982682</v>
      </c>
      <c r="AA40" s="19">
        <f t="shared" si="18"/>
        <v>2.3929608705517067</v>
      </c>
      <c r="AB40" s="19">
        <f t="shared" si="18"/>
        <v>2.4327948787376736</v>
      </c>
      <c r="AC40" s="19">
        <f t="shared" si="18"/>
        <v>2.4732919768335866</v>
      </c>
      <c r="AD40" s="19">
        <f t="shared" si="18"/>
        <v>2.5144632028506506</v>
      </c>
      <c r="AE40" s="19">
        <f t="shared" si="18"/>
        <v>2.5563197785424094</v>
      </c>
      <c r="AF40" s="19">
        <f t="shared" si="18"/>
        <v>2.5988731124633815</v>
      </c>
      <c r="AG40" s="19">
        <f t="shared" si="18"/>
        <v>2.6421348030786098</v>
      </c>
      <c r="AH40" s="19">
        <f t="shared" si="18"/>
        <v>2.6861166419249738</v>
      </c>
      <c r="AI40" s="19">
        <f t="shared" si="18"/>
        <v>2.7308306168251284</v>
      </c>
      <c r="AJ40" s="19">
        <f t="shared" si="18"/>
        <v>2.7762889151549377</v>
      </c>
      <c r="AK40" s="19">
        <f t="shared" si="18"/>
        <v>2.8225039271653065</v>
      </c>
      <c r="AL40" s="19">
        <f t="shared" si="18"/>
        <v>2.8694882493593021</v>
      </c>
      <c r="AM40" s="19">
        <f t="shared" si="18"/>
        <v>2.9172546879254959</v>
      </c>
      <c r="AN40" s="19">
        <f t="shared" si="18"/>
        <v>2.9658162622284565</v>
      </c>
      <c r="AO40" s="19">
        <f t="shared" si="18"/>
        <v>3.0151862083573469</v>
      </c>
      <c r="AP40" s="19">
        <f t="shared" si="18"/>
        <v>3.0653779827335943</v>
      </c>
      <c r="AQ40" s="19">
        <f t="shared" si="18"/>
        <v>3.1164052657786114</v>
      </c>
      <c r="AR40" s="19">
        <f t="shared" si="18"/>
        <v>3.1682819656425729</v>
      </c>
    </row>
    <row r="41" spans="1:44" ht="15">
      <c r="A41" s="2"/>
      <c r="B41" s="1" t="s">
        <v>116</v>
      </c>
      <c r="C41" s="292" t="s">
        <v>250</v>
      </c>
      <c r="D41" s="86">
        <f>SUM(F41:AR41)</f>
        <v>103.34368666751701</v>
      </c>
      <c r="F41" s="19">
        <f t="shared" ref="F41:AR41" si="19">$D$32*F22</f>
        <v>1.903357239699355</v>
      </c>
      <c r="G41" s="19">
        <f t="shared" si="19"/>
        <v>1.9350411459428878</v>
      </c>
      <c r="H41" s="19">
        <f t="shared" si="19"/>
        <v>1.9672524728376313</v>
      </c>
      <c r="I41" s="19">
        <f t="shared" si="19"/>
        <v>2</v>
      </c>
      <c r="J41" s="19">
        <f t="shared" si="19"/>
        <v>2.0332926531947701</v>
      </c>
      <c r="K41" s="19">
        <f t="shared" si="19"/>
        <v>2.0671395067679139</v>
      </c>
      <c r="L41" s="19">
        <f t="shared" si="19"/>
        <v>2.1015497861199299</v>
      </c>
      <c r="M41" s="19">
        <f t="shared" si="19"/>
        <v>2.1365328702203468</v>
      </c>
      <c r="N41" s="19">
        <f t="shared" si="19"/>
        <v>2.1720982941640834</v>
      </c>
      <c r="O41" s="19">
        <f t="shared" si="19"/>
        <v>2.2082557517703618</v>
      </c>
      <c r="P41" s="19">
        <f t="shared" si="19"/>
        <v>2.2450150982248855</v>
      </c>
      <c r="Q41" s="19">
        <f t="shared" si="19"/>
        <v>2.2823863527659976</v>
      </c>
      <c r="R41" s="19">
        <f t="shared" si="19"/>
        <v>2.3203797014155549</v>
      </c>
      <c r="S41" s="19">
        <f t="shared" si="19"/>
        <v>2.359005499755261</v>
      </c>
      <c r="T41" s="19">
        <f t="shared" si="19"/>
        <v>2.3982742757492148</v>
      </c>
      <c r="U41" s="19">
        <f t="shared" si="19"/>
        <v>2.4381967326134433</v>
      </c>
      <c r="V41" s="19">
        <f t="shared" si="19"/>
        <v>2.4787837517332041</v>
      </c>
      <c r="W41" s="19">
        <f t="shared" si="19"/>
        <v>2.5200463956288464</v>
      </c>
      <c r="X41" s="19">
        <f t="shared" si="19"/>
        <v>2.5619959109710475</v>
      </c>
      <c r="Y41" s="19">
        <f t="shared" si="19"/>
        <v>2.6046437316462367</v>
      </c>
      <c r="Z41" s="19">
        <f t="shared" si="19"/>
        <v>2.648001481873052</v>
      </c>
      <c r="AA41" s="19">
        <f t="shared" si="19"/>
        <v>2.6920809793706701</v>
      </c>
      <c r="AB41" s="19">
        <f t="shared" si="19"/>
        <v>2.7368942385798829</v>
      </c>
      <c r="AC41" s="19">
        <f t="shared" si="19"/>
        <v>2.7824534739377849</v>
      </c>
      <c r="AD41" s="19">
        <f t="shared" si="19"/>
        <v>2.8287711032069822</v>
      </c>
      <c r="AE41" s="19">
        <f t="shared" si="19"/>
        <v>2.8758597508602111</v>
      </c>
      <c r="AF41" s="19">
        <f t="shared" si="19"/>
        <v>2.9237322515213044</v>
      </c>
      <c r="AG41" s="19">
        <f t="shared" si="19"/>
        <v>2.9724016534634359</v>
      </c>
      <c r="AH41" s="19">
        <f t="shared" si="19"/>
        <v>3.0218812221655957</v>
      </c>
      <c r="AI41" s="19">
        <f t="shared" si="19"/>
        <v>3.0721844439282693</v>
      </c>
      <c r="AJ41" s="19">
        <f t="shared" si="19"/>
        <v>3.1233250295493051</v>
      </c>
      <c r="AK41" s="19">
        <f t="shared" si="19"/>
        <v>3.1753169180609704</v>
      </c>
      <c r="AL41" s="19">
        <f t="shared" si="19"/>
        <v>3.2281742805292151</v>
      </c>
      <c r="AM41" s="19">
        <f t="shared" si="19"/>
        <v>3.2819115239161833</v>
      </c>
      <c r="AN41" s="19">
        <f t="shared" si="19"/>
        <v>3.3365432950070137</v>
      </c>
      <c r="AO41" s="19">
        <f t="shared" si="19"/>
        <v>3.3920844844020155</v>
      </c>
      <c r="AP41" s="19">
        <f t="shared" si="19"/>
        <v>3.448550230575294</v>
      </c>
      <c r="AQ41" s="19">
        <f t="shared" si="19"/>
        <v>3.5059559240009377</v>
      </c>
      <c r="AR41" s="19">
        <f t="shared" si="19"/>
        <v>3.5643172113478947</v>
      </c>
    </row>
    <row r="42" spans="1:44" ht="15">
      <c r="A42" s="2"/>
      <c r="B42" s="1" t="s">
        <v>246</v>
      </c>
      <c r="C42" s="292" t="s">
        <v>250</v>
      </c>
      <c r="D42" s="86">
        <f>SUM(F42:AR42)</f>
        <v>195.20474148308767</v>
      </c>
      <c r="F42" s="19">
        <f>SUM(F40:F41)</f>
        <v>3.5952303416543367</v>
      </c>
      <c r="G42" s="19">
        <f t="shared" ref="G42:AR42" si="20">SUM(G40:G41)</f>
        <v>3.6550777201143436</v>
      </c>
      <c r="H42" s="19">
        <f t="shared" si="20"/>
        <v>3.7159213375821922</v>
      </c>
      <c r="I42" s="19">
        <f t="shared" si="20"/>
        <v>3.7777777777777777</v>
      </c>
      <c r="J42" s="19">
        <f t="shared" si="20"/>
        <v>3.8406639004790102</v>
      </c>
      <c r="K42" s="19">
        <f t="shared" si="20"/>
        <v>3.9045968461171707</v>
      </c>
      <c r="L42" s="19">
        <f t="shared" si="20"/>
        <v>3.9695940404487566</v>
      </c>
      <c r="M42" s="19">
        <f t="shared" si="20"/>
        <v>4.0356731993050996</v>
      </c>
      <c r="N42" s="19">
        <f t="shared" si="20"/>
        <v>4.1028523334210467</v>
      </c>
      <c r="O42" s="19">
        <f t="shared" si="20"/>
        <v>4.1711497533440163</v>
      </c>
      <c r="P42" s="19">
        <f t="shared" si="20"/>
        <v>4.2405840744247838</v>
      </c>
      <c r="Q42" s="19">
        <f t="shared" si="20"/>
        <v>4.3111742218913287</v>
      </c>
      <c r="R42" s="19">
        <f t="shared" si="20"/>
        <v>4.3829394360071596</v>
      </c>
      <c r="S42" s="19">
        <f t="shared" si="20"/>
        <v>4.4558992773154928</v>
      </c>
      <c r="T42" s="19">
        <f t="shared" si="20"/>
        <v>4.5300736319707386</v>
      </c>
      <c r="U42" s="19">
        <f t="shared" si="20"/>
        <v>4.6054827171587256</v>
      </c>
      <c r="V42" s="19">
        <f t="shared" si="20"/>
        <v>4.6821470866071628</v>
      </c>
      <c r="W42" s="19">
        <f t="shared" si="20"/>
        <v>4.760087636187821</v>
      </c>
      <c r="X42" s="19">
        <f t="shared" si="20"/>
        <v>4.8393256096119783</v>
      </c>
      <c r="Y42" s="19">
        <f t="shared" si="20"/>
        <v>4.9198826042206694</v>
      </c>
      <c r="Z42" s="19">
        <f t="shared" si="20"/>
        <v>5.0017805768713206</v>
      </c>
      <c r="AA42" s="19">
        <f t="shared" si="20"/>
        <v>5.0850418499223764</v>
      </c>
      <c r="AB42" s="19">
        <f t="shared" si="20"/>
        <v>5.1696891173175565</v>
      </c>
      <c r="AC42" s="19">
        <f t="shared" si="20"/>
        <v>5.2557454507713715</v>
      </c>
      <c r="AD42" s="19">
        <f t="shared" si="20"/>
        <v>5.3432343060576333</v>
      </c>
      <c r="AE42" s="19">
        <f t="shared" si="20"/>
        <v>5.4321795294026209</v>
      </c>
      <c r="AF42" s="19">
        <f t="shared" si="20"/>
        <v>5.5226053639846864</v>
      </c>
      <c r="AG42" s="19">
        <f t="shared" si="20"/>
        <v>5.6145364565420461</v>
      </c>
      <c r="AH42" s="19">
        <f t="shared" si="20"/>
        <v>5.7079978640905695</v>
      </c>
      <c r="AI42" s="19">
        <f t="shared" si="20"/>
        <v>5.8030150607533972</v>
      </c>
      <c r="AJ42" s="19">
        <f t="shared" si="20"/>
        <v>5.8996139447042424</v>
      </c>
      <c r="AK42" s="19">
        <f t="shared" si="20"/>
        <v>5.9978208452262773</v>
      </c>
      <c r="AL42" s="19">
        <f t="shared" si="20"/>
        <v>6.0976625298885168</v>
      </c>
      <c r="AM42" s="19">
        <f t="shared" si="20"/>
        <v>6.1991662118416793</v>
      </c>
      <c r="AN42" s="19">
        <f t="shared" si="20"/>
        <v>6.3023595572354703</v>
      </c>
      <c r="AO42" s="19">
        <f t="shared" si="20"/>
        <v>6.4072706927593623</v>
      </c>
      <c r="AP42" s="19">
        <f t="shared" si="20"/>
        <v>6.5139282133088887</v>
      </c>
      <c r="AQ42" s="19">
        <f t="shared" si="20"/>
        <v>6.6223611897795491</v>
      </c>
      <c r="AR42" s="19">
        <f t="shared" si="20"/>
        <v>6.7325991769904672</v>
      </c>
    </row>
    <row r="43" spans="1:44" ht="15">
      <c r="A43" s="2"/>
      <c r="C43" s="292"/>
      <c r="D43" s="86"/>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row>
    <row r="44" spans="1:44" ht="15">
      <c r="A44" s="2" t="s">
        <v>251</v>
      </c>
      <c r="C44" s="292"/>
      <c r="D44" s="86"/>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row>
    <row r="45" spans="1:44" ht="15">
      <c r="A45" s="2"/>
      <c r="B45" s="1" t="s">
        <v>113</v>
      </c>
      <c r="C45" s="292" t="s">
        <v>80</v>
      </c>
      <c r="D45" s="86">
        <f>SUM(F45:AR45)</f>
        <v>14119044.12515321</v>
      </c>
      <c r="F45" s="19">
        <f t="shared" ref="F45:N45" si="21">F40*$D$36</f>
        <v>260040.89577048074</v>
      </c>
      <c r="G45" s="19">
        <f t="shared" si="21"/>
        <v>264369.62145015271</v>
      </c>
      <c r="H45" s="19">
        <f t="shared" si="21"/>
        <v>268770.40451123903</v>
      </c>
      <c r="I45" s="19">
        <f t="shared" si="21"/>
        <v>273244.44444444444</v>
      </c>
      <c r="J45" s="19">
        <f t="shared" si="21"/>
        <v>277792.96070758771</v>
      </c>
      <c r="K45" s="19">
        <f t="shared" si="21"/>
        <v>282417.1930579808</v>
      </c>
      <c r="L45" s="19">
        <f t="shared" si="21"/>
        <v>287118.40189034067</v>
      </c>
      <c r="M45" s="19">
        <f t="shared" si="21"/>
        <v>291897.8685803265</v>
      </c>
      <c r="N45" s="19">
        <f t="shared" si="21"/>
        <v>296756.89583379525</v>
      </c>
      <c r="O45" s="19">
        <f>O40*$D$36</f>
        <v>301696.80804187071</v>
      </c>
      <c r="P45" s="19">
        <f t="shared" ref="P45:AR45" si="22">P40*$D$36</f>
        <v>306718.95164192433</v>
      </c>
      <c r="Q45" s="19">
        <f t="shared" si="22"/>
        <v>311824.69548456342</v>
      </c>
      <c r="R45" s="19">
        <f t="shared" si="22"/>
        <v>317015.43120672955</v>
      </c>
      <c r="S45" s="19">
        <f t="shared" si="22"/>
        <v>322292.57361100765</v>
      </c>
      <c r="T45" s="19">
        <f t="shared" si="22"/>
        <v>327657.56105124828</v>
      </c>
      <c r="U45" s="19">
        <f t="shared" si="22"/>
        <v>333111.85582460999</v>
      </c>
      <c r="V45" s="19">
        <f t="shared" si="22"/>
        <v>338656.94457012747</v>
      </c>
      <c r="W45" s="19">
        <f t="shared" si="22"/>
        <v>344294.33867391443</v>
      </c>
      <c r="X45" s="19">
        <f t="shared" si="22"/>
        <v>350025.57468111109</v>
      </c>
      <c r="Y45" s="19">
        <f t="shared" si="22"/>
        <v>355852.21471469029</v>
      </c>
      <c r="Z45" s="19">
        <f t="shared" si="22"/>
        <v>361775.84690123383</v>
      </c>
      <c r="AA45" s="19">
        <f t="shared" si="22"/>
        <v>367798.08580379729</v>
      </c>
      <c r="AB45" s="19">
        <f t="shared" si="22"/>
        <v>373920.57286198041</v>
      </c>
      <c r="AC45" s="19">
        <f t="shared" si="22"/>
        <v>380144.97683932225</v>
      </c>
      <c r="AD45" s="19">
        <f t="shared" si="22"/>
        <v>386472.99427814502</v>
      </c>
      <c r="AE45" s="19">
        <f t="shared" si="22"/>
        <v>392906.34996196831</v>
      </c>
      <c r="AF45" s="19">
        <f t="shared" si="22"/>
        <v>399446.79738562176</v>
      </c>
      <c r="AG45" s="19">
        <f t="shared" si="22"/>
        <v>406096.11923318234</v>
      </c>
      <c r="AH45" s="19">
        <f t="shared" si="22"/>
        <v>412856.12786386849</v>
      </c>
      <c r="AI45" s="19">
        <f t="shared" si="22"/>
        <v>419728.66580602224</v>
      </c>
      <c r="AJ45" s="19">
        <f t="shared" si="22"/>
        <v>426715.60625931394</v>
      </c>
      <c r="AK45" s="19">
        <f t="shared" si="22"/>
        <v>433818.85360530764</v>
      </c>
      <c r="AL45" s="19">
        <f t="shared" si="22"/>
        <v>441040.34392652474</v>
      </c>
      <c r="AM45" s="19">
        <f t="shared" si="22"/>
        <v>448382.0455341487</v>
      </c>
      <c r="AN45" s="19">
        <f t="shared" si="22"/>
        <v>455845.95950451377</v>
      </c>
      <c r="AO45" s="19">
        <f t="shared" si="22"/>
        <v>463434.12022452423</v>
      </c>
      <c r="AP45" s="19">
        <f t="shared" si="22"/>
        <v>471148.59594615345</v>
      </c>
      <c r="AQ45" s="19">
        <f t="shared" si="22"/>
        <v>478991.48935017257</v>
      </c>
      <c r="AR45" s="19">
        <f t="shared" si="22"/>
        <v>486964.93811926345</v>
      </c>
    </row>
    <row r="46" spans="1:44" ht="15">
      <c r="A46" s="2"/>
      <c r="B46" s="68" t="s">
        <v>116</v>
      </c>
      <c r="C46" s="297" t="s">
        <v>80</v>
      </c>
      <c r="D46" s="96">
        <f>SUM(F46:AR46)</f>
        <v>496049.69600408158</v>
      </c>
      <c r="E46" s="68"/>
      <c r="F46" s="97">
        <f>F41*$D$37</f>
        <v>9136.1147505569043</v>
      </c>
      <c r="G46" s="97">
        <f t="shared" ref="G46:AR46" si="23">G41*$D$37</f>
        <v>9288.197500525861</v>
      </c>
      <c r="H46" s="97">
        <f t="shared" si="23"/>
        <v>9442.8118696206293</v>
      </c>
      <c r="I46" s="97">
        <f t="shared" si="23"/>
        <v>9600</v>
      </c>
      <c r="J46" s="97">
        <f t="shared" si="23"/>
        <v>9759.8047353348975</v>
      </c>
      <c r="K46" s="97">
        <f t="shared" si="23"/>
        <v>9922.2696324859862</v>
      </c>
      <c r="L46" s="97">
        <f t="shared" si="23"/>
        <v>10087.438973375663</v>
      </c>
      <c r="M46" s="97">
        <f t="shared" si="23"/>
        <v>10255.357777057665</v>
      </c>
      <c r="N46" s="97">
        <f t="shared" si="23"/>
        <v>10426.0718119876</v>
      </c>
      <c r="O46" s="97">
        <f t="shared" si="23"/>
        <v>10599.627608497736</v>
      </c>
      <c r="P46" s="97">
        <f t="shared" si="23"/>
        <v>10776.072471479451</v>
      </c>
      <c r="Q46" s="97">
        <f t="shared" si="23"/>
        <v>10955.454493276788</v>
      </c>
      <c r="R46" s="97">
        <f t="shared" si="23"/>
        <v>11137.822566794664</v>
      </c>
      <c r="S46" s="97">
        <f t="shared" si="23"/>
        <v>11323.226398825253</v>
      </c>
      <c r="T46" s="97">
        <f t="shared" si="23"/>
        <v>11511.716523596231</v>
      </c>
      <c r="U46" s="97">
        <f t="shared" si="23"/>
        <v>11703.344316544528</v>
      </c>
      <c r="V46" s="97">
        <f t="shared" si="23"/>
        <v>11898.162008319379</v>
      </c>
      <c r="W46" s="97">
        <f t="shared" si="23"/>
        <v>12096.222699018463</v>
      </c>
      <c r="X46" s="97">
        <f t="shared" si="23"/>
        <v>12297.580372661028</v>
      </c>
      <c r="Y46" s="97">
        <f t="shared" si="23"/>
        <v>12502.289911901937</v>
      </c>
      <c r="Z46" s="97">
        <f t="shared" si="23"/>
        <v>12710.40711299065</v>
      </c>
      <c r="AA46" s="97">
        <f t="shared" si="23"/>
        <v>12921.988700979216</v>
      </c>
      <c r="AB46" s="97">
        <f t="shared" si="23"/>
        <v>13137.092345183439</v>
      </c>
      <c r="AC46" s="97">
        <f t="shared" si="23"/>
        <v>13355.776674901368</v>
      </c>
      <c r="AD46" s="97">
        <f t="shared" si="23"/>
        <v>13578.101295393515</v>
      </c>
      <c r="AE46" s="97">
        <f t="shared" si="23"/>
        <v>13804.126804129013</v>
      </c>
      <c r="AF46" s="97">
        <f t="shared" si="23"/>
        <v>14033.914807302261</v>
      </c>
      <c r="AG46" s="97">
        <f t="shared" si="23"/>
        <v>14267.527936624492</v>
      </c>
      <c r="AH46" s="97">
        <f t="shared" si="23"/>
        <v>14505.02986639486</v>
      </c>
      <c r="AI46" s="97">
        <f t="shared" si="23"/>
        <v>14746.485330855692</v>
      </c>
      <c r="AJ46" s="97">
        <f t="shared" si="23"/>
        <v>14991.960141836664</v>
      </c>
      <c r="AK46" s="97">
        <f t="shared" si="23"/>
        <v>15241.521206692658</v>
      </c>
      <c r="AL46" s="97">
        <f t="shared" si="23"/>
        <v>15495.236546540233</v>
      </c>
      <c r="AM46" s="97">
        <f t="shared" si="23"/>
        <v>15753.17531479768</v>
      </c>
      <c r="AN46" s="97">
        <f t="shared" si="23"/>
        <v>16015.407816033667</v>
      </c>
      <c r="AO46" s="97">
        <f t="shared" si="23"/>
        <v>16282.005525129674</v>
      </c>
      <c r="AP46" s="97">
        <f t="shared" si="23"/>
        <v>16553.041106761411</v>
      </c>
      <c r="AQ46" s="97">
        <f t="shared" si="23"/>
        <v>16828.5884352045</v>
      </c>
      <c r="AR46" s="97">
        <f t="shared" si="23"/>
        <v>17108.722614469894</v>
      </c>
    </row>
    <row r="47" spans="1:44" ht="15">
      <c r="A47" s="2"/>
      <c r="B47" s="1" t="s">
        <v>246</v>
      </c>
      <c r="C47" s="292" t="s">
        <v>80</v>
      </c>
      <c r="D47" s="86">
        <f>SUM(F47:AR47)</f>
        <v>14615093.821157288</v>
      </c>
      <c r="F47" s="19">
        <f>SUM(F45:F46)</f>
        <v>269177.01052103762</v>
      </c>
      <c r="G47" s="19">
        <f t="shared" ref="G47" si="24">SUM(G45:G46)</f>
        <v>273657.81895067857</v>
      </c>
      <c r="H47" s="19">
        <f t="shared" ref="H47" si="25">SUM(H45:H46)</f>
        <v>278213.21638085967</v>
      </c>
      <c r="I47" s="19">
        <f t="shared" ref="I47" si="26">SUM(I45:I46)</f>
        <v>282844.44444444444</v>
      </c>
      <c r="J47" s="19">
        <f t="shared" ref="J47" si="27">SUM(J45:J46)</f>
        <v>287552.76544292259</v>
      </c>
      <c r="K47" s="19">
        <f t="shared" ref="K47" si="28">SUM(K45:K46)</f>
        <v>292339.46269046678</v>
      </c>
      <c r="L47" s="19">
        <f t="shared" ref="L47" si="29">SUM(L45:L46)</f>
        <v>297205.84086371632</v>
      </c>
      <c r="M47" s="19">
        <f t="shared" ref="M47" si="30">SUM(M45:M46)</f>
        <v>302153.22635738418</v>
      </c>
      <c r="N47" s="19">
        <f t="shared" ref="N47" si="31">SUM(N45:N46)</f>
        <v>307182.96764578286</v>
      </c>
      <c r="O47" s="19">
        <f t="shared" ref="O47" si="32">SUM(O45:O46)</f>
        <v>312296.43565036845</v>
      </c>
      <c r="P47" s="19">
        <f t="shared" ref="P47" si="33">SUM(P45:P46)</f>
        <v>317495.02411340381</v>
      </c>
      <c r="Q47" s="19">
        <f t="shared" ref="Q47" si="34">SUM(Q45:Q46)</f>
        <v>322780.14997784019</v>
      </c>
      <c r="R47" s="19">
        <f t="shared" ref="R47" si="35">SUM(R45:R46)</f>
        <v>328153.25377352419</v>
      </c>
      <c r="S47" s="19">
        <f t="shared" ref="S47" si="36">SUM(S45:S46)</f>
        <v>333615.80000983289</v>
      </c>
      <c r="T47" s="19">
        <f t="shared" ref="T47" si="37">SUM(T45:T46)</f>
        <v>339169.27757484454</v>
      </c>
      <c r="U47" s="19">
        <f t="shared" ref="U47" si="38">SUM(U45:U46)</f>
        <v>344815.20014115452</v>
      </c>
      <c r="V47" s="19">
        <f t="shared" ref="V47" si="39">SUM(V45:V46)</f>
        <v>350555.10657844687</v>
      </c>
      <c r="W47" s="19">
        <f t="shared" ref="W47" si="40">SUM(W45:W46)</f>
        <v>356390.56137293292</v>
      </c>
      <c r="X47" s="19">
        <f t="shared" ref="X47" si="41">SUM(X45:X46)</f>
        <v>362323.15505377209</v>
      </c>
      <c r="Y47" s="19">
        <f t="shared" ref="Y47" si="42">SUM(Y45:Y46)</f>
        <v>368354.50462659221</v>
      </c>
      <c r="Z47" s="19">
        <f t="shared" ref="Z47" si="43">SUM(Z45:Z46)</f>
        <v>374486.25401422445</v>
      </c>
      <c r="AA47" s="19">
        <f t="shared" ref="AA47" si="44">SUM(AA45:AA46)</f>
        <v>380720.07450477651</v>
      </c>
      <c r="AB47" s="19">
        <f t="shared" ref="AB47" si="45">SUM(AB45:AB46)</f>
        <v>387057.66520716384</v>
      </c>
      <c r="AC47" s="19">
        <f t="shared" ref="AC47" si="46">SUM(AC45:AC46)</f>
        <v>393500.75351422362</v>
      </c>
      <c r="AD47" s="19">
        <f t="shared" ref="AD47" si="47">SUM(AD45:AD46)</f>
        <v>400051.09557353857</v>
      </c>
      <c r="AE47" s="19">
        <f t="shared" ref="AE47" si="48">SUM(AE45:AE46)</f>
        <v>406710.4767660973</v>
      </c>
      <c r="AF47" s="19">
        <f t="shared" ref="AF47" si="49">SUM(AF45:AF46)</f>
        <v>413480.71219292399</v>
      </c>
      <c r="AG47" s="19">
        <f t="shared" ref="AG47" si="50">SUM(AG45:AG46)</f>
        <v>420363.64716980682</v>
      </c>
      <c r="AH47" s="19">
        <f t="shared" ref="AH47" si="51">SUM(AH45:AH46)</f>
        <v>427361.15773026337</v>
      </c>
      <c r="AI47" s="19">
        <f t="shared" ref="AI47" si="52">SUM(AI45:AI46)</f>
        <v>434475.15113687795</v>
      </c>
      <c r="AJ47" s="19">
        <f t="shared" ref="AJ47" si="53">SUM(AJ45:AJ46)</f>
        <v>441707.5664011506</v>
      </c>
      <c r="AK47" s="19">
        <f t="shared" ref="AK47" si="54">SUM(AK45:AK46)</f>
        <v>449060.37481200031</v>
      </c>
      <c r="AL47" s="19">
        <f t="shared" ref="AL47" si="55">SUM(AL45:AL46)</f>
        <v>456535.58047306497</v>
      </c>
      <c r="AM47" s="19">
        <f t="shared" ref="AM47" si="56">SUM(AM45:AM46)</f>
        <v>464135.22084894637</v>
      </c>
      <c r="AN47" s="19">
        <f t="shared" ref="AN47" si="57">SUM(AN45:AN46)</f>
        <v>471861.36732054746</v>
      </c>
      <c r="AO47" s="19">
        <f t="shared" ref="AO47" si="58">SUM(AO45:AO46)</f>
        <v>479716.1257496539</v>
      </c>
      <c r="AP47" s="19">
        <f t="shared" ref="AP47" si="59">SUM(AP45:AP46)</f>
        <v>487701.63705291488</v>
      </c>
      <c r="AQ47" s="19">
        <f t="shared" ref="AQ47" si="60">SUM(AQ45:AQ46)</f>
        <v>495820.0777853771</v>
      </c>
      <c r="AR47" s="19">
        <f t="shared" ref="AR47" si="61">SUM(AR45:AR46)</f>
        <v>504073.66073373333</v>
      </c>
    </row>
    <row r="48" spans="1:44">
      <c r="C48" s="292"/>
      <c r="D48" s="86"/>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row>
    <row r="49" spans="1:44">
      <c r="C49" s="22"/>
    </row>
    <row r="50" spans="1:44" s="9" customFormat="1">
      <c r="A50" s="8" t="s">
        <v>225</v>
      </c>
      <c r="B50" s="13"/>
      <c r="C50" s="293"/>
    </row>
    <row r="51" spans="1:44" ht="15">
      <c r="A51" s="2" t="s">
        <v>243</v>
      </c>
      <c r="C51" s="21"/>
    </row>
    <row r="52" spans="1:44">
      <c r="B52" s="1" t="str">
        <f>Traffic!B41</f>
        <v>Total Vehicular Traffic</v>
      </c>
      <c r="C52" s="292" t="s">
        <v>101</v>
      </c>
      <c r="D52" s="86">
        <f t="shared" ref="D52" si="62">SUM(F52:AR52)</f>
        <v>985873.22936411866</v>
      </c>
      <c r="F52" s="19">
        <f>Traffic!F41</f>
        <v>18157.5576510354</v>
      </c>
      <c r="G52" s="19">
        <f>Traffic!G41</f>
        <v>18459.814285905384</v>
      </c>
      <c r="H52" s="19">
        <f>Traffic!H41</f>
        <v>18767.102383435638</v>
      </c>
      <c r="I52" s="19">
        <f>Traffic!I41</f>
        <v>19079.505698996873</v>
      </c>
      <c r="J52" s="19">
        <f>Traffic!J41</f>
        <v>19397.109382179045</v>
      </c>
      <c r="K52" s="19">
        <f>Traffic!K41</f>
        <v>19720</v>
      </c>
      <c r="L52" s="19">
        <f>Traffic!L41</f>
        <v>20048.265560500433</v>
      </c>
      <c r="M52" s="19">
        <f>Traffic!M41</f>
        <v>20381.995536731629</v>
      </c>
      <c r="N52" s="19">
        <f>Traffic!N41</f>
        <v>20721.280891142509</v>
      </c>
      <c r="O52" s="19">
        <f>Traffic!O41</f>
        <v>21066.214100372621</v>
      </c>
      <c r="P52" s="19">
        <f>Traffic!P41</f>
        <v>21416.889180457863</v>
      </c>
      <c r="Q52" s="19">
        <f>Traffic!Q41</f>
        <v>21773.401712455769</v>
      </c>
      <c r="R52" s="19">
        <f>Traffic!R41</f>
        <v>22135.848868497371</v>
      </c>
      <c r="S52" s="19">
        <f>Traffic!S41</f>
        <v>22504.329438272736</v>
      </c>
      <c r="T52" s="19">
        <f>Traffic!T41</f>
        <v>22878.943855957372</v>
      </c>
      <c r="U52" s="19">
        <f>Traffic!U41</f>
        <v>23259.794227586874</v>
      </c>
      <c r="V52" s="19">
        <f>Traffic!V41</f>
        <v>23646.984358887257</v>
      </c>
      <c r="W52" s="19">
        <f>Traffic!W41</f>
        <v>24040.619783568553</v>
      </c>
      <c r="X52" s="19">
        <f>Traffic!X41</f>
        <v>24440.807792089392</v>
      </c>
      <c r="Y52" s="19">
        <f>Traffic!Y41</f>
        <v>24847.657460900427</v>
      </c>
      <c r="Z52" s="19">
        <f>Traffic!Z41</f>
        <v>25261.279682174529</v>
      </c>
      <c r="AA52" s="19">
        <f>Traffic!AA41</f>
        <v>25681.787194031895</v>
      </c>
      <c r="AB52" s="19">
        <f>Traffic!AB41</f>
        <v>26109.294611268291</v>
      </c>
      <c r="AC52" s="19">
        <f>Traffic!AC41</f>
        <v>26543.918456594809</v>
      </c>
      <c r="AD52" s="19">
        <f>Traffic!AD41</f>
        <v>26985.777192397643</v>
      </c>
      <c r="AE52" s="19">
        <f>Traffic!AE41</f>
        <v>27434.991253026561</v>
      </c>
      <c r="AF52" s="19">
        <f>Traffic!AF41</f>
        <v>27891.683077620844</v>
      </c>
      <c r="AG52" s="19">
        <f>Traffic!AG41</f>
        <v>28355.977143481679</v>
      </c>
      <c r="AH52" s="19">
        <f>Traffic!AH41</f>
        <v>28828.000000000062</v>
      </c>
      <c r="AI52" s="19">
        <f>Traffic!AI41</f>
        <v>29307.880303149479</v>
      </c>
      <c r="AJ52" s="19">
        <f>Traffic!AJ41</f>
        <v>29795.748850552773</v>
      </c>
      <c r="AK52" s="19">
        <f>Traffic!AK41</f>
        <v>30291.738617132734</v>
      </c>
      <c r="AL52" s="19">
        <f>Traffic!AL41</f>
        <v>30795.984791356146</v>
      </c>
      <c r="AM52" s="19">
        <f>Traffic!AM41</f>
        <v>31308.624812081165</v>
      </c>
      <c r="AN52" s="19">
        <f>Traffic!AN41</f>
        <v>31829.798406018061</v>
      </c>
      <c r="AO52" s="19">
        <f>Traffic!AO41</f>
        <v>32359.647625813563</v>
      </c>
      <c r="AP52" s="19">
        <f>Traffic!AP41</f>
        <v>32898.31688876915</v>
      </c>
      <c r="AQ52" s="19">
        <f>Traffic!AQ41</f>
        <v>33445.953016203872</v>
      </c>
      <c r="AR52" s="19">
        <f>Traffic!AR41</f>
        <v>34002.705273472398</v>
      </c>
    </row>
    <row r="53" spans="1:44" ht="15">
      <c r="A53" s="2" t="s">
        <v>252</v>
      </c>
      <c r="C53" s="292"/>
      <c r="D53" s="86"/>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row>
    <row r="54" spans="1:44">
      <c r="B54" s="1" t="str">
        <f>Inputs!C52</f>
        <v xml:space="preserve">Crash Modification Factor </v>
      </c>
      <c r="C54" s="292" t="s">
        <v>105</v>
      </c>
      <c r="D54" s="1">
        <f>Inputs!$E$52</f>
        <v>0.434</v>
      </c>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row>
    <row r="55" spans="1:44">
      <c r="C55" s="292"/>
      <c r="D55" s="86"/>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row>
    <row r="56" spans="1:44" ht="15">
      <c r="A56" s="2" t="s">
        <v>245</v>
      </c>
      <c r="C56" s="292"/>
      <c r="D56" s="86"/>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row>
    <row r="57" spans="1:44">
      <c r="B57" s="1" t="s">
        <v>113</v>
      </c>
      <c r="C57" s="292" t="s">
        <v>247</v>
      </c>
      <c r="D57" s="108">
        <f>D31*$D$54</f>
        <v>4.043896984166214E-5</v>
      </c>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row>
    <row r="58" spans="1:44">
      <c r="B58" s="1" t="s">
        <v>116</v>
      </c>
      <c r="C58" s="292" t="s">
        <v>247</v>
      </c>
      <c r="D58" s="108">
        <f>D32*$D$54</f>
        <v>4.5493841071869912E-5</v>
      </c>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row>
    <row r="59" spans="1:44">
      <c r="B59" s="1" t="s">
        <v>246</v>
      </c>
      <c r="C59" s="292" t="s">
        <v>247</v>
      </c>
      <c r="D59" s="108">
        <f>D33*$D$54</f>
        <v>8.5932810913532046E-5</v>
      </c>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row>
    <row r="60" spans="1:44">
      <c r="C60" s="292"/>
      <c r="D60" s="86"/>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row>
    <row r="61" spans="1:44" ht="15">
      <c r="A61" s="2" t="s">
        <v>248</v>
      </c>
      <c r="C61" s="292"/>
      <c r="D61" s="20"/>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row>
    <row r="62" spans="1:44">
      <c r="B62" s="1" t="s">
        <v>113</v>
      </c>
      <c r="C62" s="292" t="s">
        <v>114</v>
      </c>
      <c r="D62" s="5">
        <f>Inputs!$E$61</f>
        <v>153700</v>
      </c>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row>
    <row r="63" spans="1:44">
      <c r="B63" s="1" t="s">
        <v>116</v>
      </c>
      <c r="C63" s="292" t="s">
        <v>114</v>
      </c>
      <c r="D63" s="5">
        <f>Inputs!$E$62</f>
        <v>4800</v>
      </c>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row>
    <row r="64" spans="1:44">
      <c r="C64" s="292"/>
      <c r="D64" s="20"/>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row>
    <row r="65" spans="1:44" ht="15">
      <c r="A65" s="2" t="s">
        <v>249</v>
      </c>
      <c r="C65" s="292"/>
      <c r="D65" s="86"/>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row>
    <row r="66" spans="1:44" ht="15">
      <c r="A66" s="2"/>
      <c r="B66" s="1" t="s">
        <v>113</v>
      </c>
      <c r="C66" s="292" t="s">
        <v>250</v>
      </c>
      <c r="D66" s="86">
        <f>SUM(F66:AR66)</f>
        <v>39.86769778995766</v>
      </c>
      <c r="F66" s="19">
        <f>F$52*$D57</f>
        <v>0.73427292624846219</v>
      </c>
      <c r="G66" s="19">
        <f t="shared" ref="G66:AR66" si="63">G$52*$D57</f>
        <v>0.74649587319041177</v>
      </c>
      <c r="H66" s="19">
        <f t="shared" si="63"/>
        <v>0.75892228729913946</v>
      </c>
      <c r="I66" s="19">
        <f t="shared" si="63"/>
        <v>0.77155555555555544</v>
      </c>
      <c r="J66" s="19">
        <f t="shared" si="63"/>
        <v>0.78439912132136014</v>
      </c>
      <c r="K66" s="19">
        <f t="shared" si="63"/>
        <v>0.7974564852775774</v>
      </c>
      <c r="L66" s="19">
        <f t="shared" si="63"/>
        <v>0.81073120637871077</v>
      </c>
      <c r="M66" s="19">
        <f t="shared" si="63"/>
        <v>0.82422690282278266</v>
      </c>
      <c r="N66" s="19">
        <f t="shared" si="63"/>
        <v>0.83794725303752193</v>
      </c>
      <c r="O66" s="19">
        <f t="shared" si="63"/>
        <v>0.85189599668296612</v>
      </c>
      <c r="P66" s="19">
        <f t="shared" si="63"/>
        <v>0.86607693567075572</v>
      </c>
      <c r="Q66" s="19">
        <f t="shared" si="63"/>
        <v>0.88049393520039365</v>
      </c>
      <c r="R66" s="19">
        <f t="shared" si="63"/>
        <v>0.89515092481275615</v>
      </c>
      <c r="S66" s="19">
        <f t="shared" si="63"/>
        <v>0.91005189946114073</v>
      </c>
      <c r="T66" s="19">
        <f t="shared" si="63"/>
        <v>0.92520092060014147</v>
      </c>
      <c r="U66" s="19">
        <f t="shared" si="63"/>
        <v>0.94060211729265275</v>
      </c>
      <c r="V66" s="19">
        <f t="shared" si="63"/>
        <v>0.95625968733529809</v>
      </c>
      <c r="W66" s="19">
        <f t="shared" si="63"/>
        <v>0.97217789840259494</v>
      </c>
      <c r="X66" s="19">
        <f t="shared" si="63"/>
        <v>0.98836108921016397</v>
      </c>
      <c r="Y66" s="19">
        <f t="shared" si="63"/>
        <v>1.0048136706973037</v>
      </c>
      <c r="Z66" s="19">
        <f t="shared" si="63"/>
        <v>1.0215401272292484</v>
      </c>
      <c r="AA66" s="19">
        <f t="shared" si="63"/>
        <v>1.0385450178194409</v>
      </c>
      <c r="AB66" s="19">
        <f t="shared" si="63"/>
        <v>1.0558329773721502</v>
      </c>
      <c r="AC66" s="19">
        <f t="shared" si="63"/>
        <v>1.0734087179457765</v>
      </c>
      <c r="AD66" s="19">
        <f t="shared" si="63"/>
        <v>1.0912770300371823</v>
      </c>
      <c r="AE66" s="19">
        <f t="shared" si="63"/>
        <v>1.1094427838874057</v>
      </c>
      <c r="AF66" s="19">
        <f t="shared" si="63"/>
        <v>1.1279109308091075</v>
      </c>
      <c r="AG66" s="19">
        <f t="shared" si="63"/>
        <v>1.1466865045361165</v>
      </c>
      <c r="AH66" s="19">
        <f t="shared" si="63"/>
        <v>1.1657746225954386</v>
      </c>
      <c r="AI66" s="19">
        <f t="shared" si="63"/>
        <v>1.1851804877021057</v>
      </c>
      <c r="AJ66" s="19">
        <f t="shared" si="63"/>
        <v>1.2049093891772429</v>
      </c>
      <c r="AK66" s="19">
        <f t="shared" si="63"/>
        <v>1.224966704389743</v>
      </c>
      <c r="AL66" s="19">
        <f t="shared" si="63"/>
        <v>1.245357900221937</v>
      </c>
      <c r="AM66" s="19">
        <f t="shared" si="63"/>
        <v>1.2660885345596653</v>
      </c>
      <c r="AN66" s="19">
        <f t="shared" si="63"/>
        <v>1.28716425780715</v>
      </c>
      <c r="AO66" s="19">
        <f t="shared" si="63"/>
        <v>1.3085908144270886</v>
      </c>
      <c r="AP66" s="19">
        <f t="shared" si="63"/>
        <v>1.3303740445063799</v>
      </c>
      <c r="AQ66" s="19">
        <f t="shared" si="63"/>
        <v>1.3525198853479172</v>
      </c>
      <c r="AR66" s="19">
        <f t="shared" si="63"/>
        <v>1.3750343730888765</v>
      </c>
    </row>
    <row r="67" spans="1:44" ht="15">
      <c r="A67" s="2"/>
      <c r="B67" s="1" t="s">
        <v>116</v>
      </c>
      <c r="C67" s="292" t="s">
        <v>250</v>
      </c>
      <c r="D67" s="86">
        <f>SUM(F67:AR67)</f>
        <v>44.851160013702376</v>
      </c>
      <c r="F67" s="19">
        <f>F$52*$D58</f>
        <v>0.82605704202952002</v>
      </c>
      <c r="G67" s="19">
        <f t="shared" ref="G67:AR67" si="64">G$52*$D58</f>
        <v>0.83980785733921337</v>
      </c>
      <c r="H67" s="19">
        <f t="shared" si="64"/>
        <v>0.85378757321153198</v>
      </c>
      <c r="I67" s="19">
        <f t="shared" si="64"/>
        <v>0.86799999999999999</v>
      </c>
      <c r="J67" s="19">
        <f t="shared" si="64"/>
        <v>0.88244901148653032</v>
      </c>
      <c r="K67" s="19">
        <f t="shared" si="64"/>
        <v>0.89713854593727471</v>
      </c>
      <c r="L67" s="19">
        <f t="shared" si="64"/>
        <v>0.91207260717604965</v>
      </c>
      <c r="M67" s="19">
        <f t="shared" si="64"/>
        <v>0.92725526567563066</v>
      </c>
      <c r="N67" s="19">
        <f t="shared" si="64"/>
        <v>0.94269065966721222</v>
      </c>
      <c r="O67" s="19">
        <f t="shared" si="64"/>
        <v>0.95838299626833701</v>
      </c>
      <c r="P67" s="19">
        <f t="shared" si="64"/>
        <v>0.97433655262960028</v>
      </c>
      <c r="Q67" s="19">
        <f t="shared" si="64"/>
        <v>0.9905556771004429</v>
      </c>
      <c r="R67" s="19">
        <f t="shared" si="64"/>
        <v>1.0070447904143509</v>
      </c>
      <c r="S67" s="19">
        <f t="shared" si="64"/>
        <v>1.0238083868937833</v>
      </c>
      <c r="T67" s="19">
        <f t="shared" si="64"/>
        <v>1.0408510356751592</v>
      </c>
      <c r="U67" s="19">
        <f t="shared" si="64"/>
        <v>1.0581773819542344</v>
      </c>
      <c r="V67" s="19">
        <f t="shared" si="64"/>
        <v>1.0757921482522106</v>
      </c>
      <c r="W67" s="19">
        <f t="shared" si="64"/>
        <v>1.0937001357029195</v>
      </c>
      <c r="X67" s="19">
        <f t="shared" si="64"/>
        <v>1.1119062253614345</v>
      </c>
      <c r="Y67" s="19">
        <f t="shared" si="64"/>
        <v>1.1304153795344667</v>
      </c>
      <c r="Z67" s="19">
        <f t="shared" si="64"/>
        <v>1.1492326431329045</v>
      </c>
      <c r="AA67" s="19">
        <f t="shared" si="64"/>
        <v>1.168363145046871</v>
      </c>
      <c r="AB67" s="19">
        <f t="shared" si="64"/>
        <v>1.1878120995436692</v>
      </c>
      <c r="AC67" s="19">
        <f t="shared" si="64"/>
        <v>1.2075848076889988</v>
      </c>
      <c r="AD67" s="19">
        <f t="shared" si="64"/>
        <v>1.2276866587918303</v>
      </c>
      <c r="AE67" s="19">
        <f t="shared" si="64"/>
        <v>1.2481231318733315</v>
      </c>
      <c r="AF67" s="19">
        <f t="shared" si="64"/>
        <v>1.2688997971602463</v>
      </c>
      <c r="AG67" s="19">
        <f t="shared" si="64"/>
        <v>1.2900223176031314</v>
      </c>
      <c r="AH67" s="19">
        <f t="shared" si="64"/>
        <v>1.3114964504198687</v>
      </c>
      <c r="AI67" s="19">
        <f t="shared" si="64"/>
        <v>1.3333280486648691</v>
      </c>
      <c r="AJ67" s="19">
        <f t="shared" si="64"/>
        <v>1.3555230628243984</v>
      </c>
      <c r="AK67" s="19">
        <f t="shared" si="64"/>
        <v>1.3780875424384611</v>
      </c>
      <c r="AL67" s="19">
        <f t="shared" si="64"/>
        <v>1.4010276377496793</v>
      </c>
      <c r="AM67" s="19">
        <f t="shared" si="64"/>
        <v>1.4243496013796235</v>
      </c>
      <c r="AN67" s="19">
        <f t="shared" si="64"/>
        <v>1.4480597900330439</v>
      </c>
      <c r="AO67" s="19">
        <f t="shared" si="64"/>
        <v>1.4721646662304748</v>
      </c>
      <c r="AP67" s="19">
        <f t="shared" si="64"/>
        <v>1.4966708000696776</v>
      </c>
      <c r="AQ67" s="19">
        <f t="shared" si="64"/>
        <v>1.521584871016407</v>
      </c>
      <c r="AR67" s="19">
        <f t="shared" si="64"/>
        <v>1.5469136697249863</v>
      </c>
    </row>
    <row r="68" spans="1:44" ht="15">
      <c r="A68" s="2"/>
      <c r="B68" s="1" t="s">
        <v>246</v>
      </c>
      <c r="C68" s="292" t="s">
        <v>250</v>
      </c>
      <c r="D68" s="86">
        <f>SUM(F68:AR68)</f>
        <v>84.718857803660015</v>
      </c>
      <c r="F68" s="19">
        <f>SUM(F66:F67)</f>
        <v>1.5603299682779821</v>
      </c>
      <c r="G68" s="19">
        <f t="shared" ref="G68:AR68" si="65">SUM(G66:G67)</f>
        <v>1.5863037305296253</v>
      </c>
      <c r="H68" s="19">
        <f t="shared" si="65"/>
        <v>1.6127098605106713</v>
      </c>
      <c r="I68" s="19">
        <f t="shared" si="65"/>
        <v>1.6395555555555554</v>
      </c>
      <c r="J68" s="19">
        <f t="shared" si="65"/>
        <v>1.6668481328078903</v>
      </c>
      <c r="K68" s="19">
        <f t="shared" si="65"/>
        <v>1.6945950312148521</v>
      </c>
      <c r="L68" s="19">
        <f t="shared" si="65"/>
        <v>1.7228038135547603</v>
      </c>
      <c r="M68" s="19">
        <f t="shared" si="65"/>
        <v>1.7514821684984132</v>
      </c>
      <c r="N68" s="19">
        <f t="shared" si="65"/>
        <v>1.780637912704734</v>
      </c>
      <c r="O68" s="19">
        <f t="shared" si="65"/>
        <v>1.8102789929513032</v>
      </c>
      <c r="P68" s="19">
        <f t="shared" si="65"/>
        <v>1.840413488300356</v>
      </c>
      <c r="Q68" s="19">
        <f t="shared" si="65"/>
        <v>1.8710496123008364</v>
      </c>
      <c r="R68" s="19">
        <f t="shared" si="65"/>
        <v>1.9021957152271072</v>
      </c>
      <c r="S68" s="19">
        <f t="shared" si="65"/>
        <v>1.9338602863549239</v>
      </c>
      <c r="T68" s="19">
        <f t="shared" si="65"/>
        <v>1.9660519562753007</v>
      </c>
      <c r="U68" s="19">
        <f t="shared" si="65"/>
        <v>1.9987794992468872</v>
      </c>
      <c r="V68" s="19">
        <f t="shared" si="65"/>
        <v>2.0320518355875086</v>
      </c>
      <c r="W68" s="19">
        <f t="shared" si="65"/>
        <v>2.0658780341055145</v>
      </c>
      <c r="X68" s="19">
        <f t="shared" si="65"/>
        <v>2.1002673145715987</v>
      </c>
      <c r="Y68" s="19">
        <f t="shared" si="65"/>
        <v>2.1352290502317706</v>
      </c>
      <c r="Z68" s="19">
        <f t="shared" si="65"/>
        <v>2.1707727703621531</v>
      </c>
      <c r="AA68" s="19">
        <f t="shared" si="65"/>
        <v>2.2069081628663119</v>
      </c>
      <c r="AB68" s="19">
        <f t="shared" si="65"/>
        <v>2.2436450769158194</v>
      </c>
      <c r="AC68" s="19">
        <f t="shared" si="65"/>
        <v>2.2809935256347753</v>
      </c>
      <c r="AD68" s="19">
        <f t="shared" si="65"/>
        <v>2.3189636888290126</v>
      </c>
      <c r="AE68" s="19">
        <f t="shared" si="65"/>
        <v>2.3575659157607372</v>
      </c>
      <c r="AF68" s="19">
        <f t="shared" si="65"/>
        <v>2.3968107279693536</v>
      </c>
      <c r="AG68" s="19">
        <f t="shared" si="65"/>
        <v>2.4367088221392477</v>
      </c>
      <c r="AH68" s="19">
        <f t="shared" si="65"/>
        <v>2.4772710730153076</v>
      </c>
      <c r="AI68" s="19">
        <f t="shared" si="65"/>
        <v>2.5185085363669746</v>
      </c>
      <c r="AJ68" s="19">
        <f t="shared" si="65"/>
        <v>2.560432452001641</v>
      </c>
      <c r="AK68" s="19">
        <f t="shared" si="65"/>
        <v>2.6030542468282043</v>
      </c>
      <c r="AL68" s="19">
        <f t="shared" si="65"/>
        <v>2.6463855379716161</v>
      </c>
      <c r="AM68" s="19">
        <f t="shared" si="65"/>
        <v>2.6904381359392886</v>
      </c>
      <c r="AN68" s="19">
        <f t="shared" si="65"/>
        <v>2.7352240478401937</v>
      </c>
      <c r="AO68" s="19">
        <f t="shared" si="65"/>
        <v>2.7807554806575636</v>
      </c>
      <c r="AP68" s="19">
        <f t="shared" si="65"/>
        <v>2.8270448445760574</v>
      </c>
      <c r="AQ68" s="19">
        <f t="shared" si="65"/>
        <v>2.8741047563643241</v>
      </c>
      <c r="AR68" s="19">
        <f t="shared" si="65"/>
        <v>2.9219480428138631</v>
      </c>
    </row>
    <row r="69" spans="1:44" ht="15">
      <c r="A69" s="2"/>
      <c r="C69" s="292"/>
      <c r="D69" s="107"/>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row>
    <row r="70" spans="1:44" ht="15">
      <c r="A70" s="2" t="s">
        <v>251</v>
      </c>
      <c r="C70" s="292"/>
      <c r="D70" s="86"/>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row>
    <row r="71" spans="1:44" ht="15">
      <c r="A71" s="2"/>
      <c r="B71" s="1" t="s">
        <v>113</v>
      </c>
      <c r="C71" s="292" t="s">
        <v>80</v>
      </c>
      <c r="D71" s="86">
        <f>SUM(F71:AR71)</f>
        <v>6127665.1503164945</v>
      </c>
      <c r="F71" s="19">
        <f>F66*$D$62</f>
        <v>112857.74876438864</v>
      </c>
      <c r="G71" s="19">
        <f t="shared" ref="G71:AR71" si="66">G66*$D$62</f>
        <v>114736.41570936629</v>
      </c>
      <c r="H71" s="19">
        <f t="shared" si="66"/>
        <v>116646.35555787773</v>
      </c>
      <c r="I71" s="19">
        <f t="shared" si="66"/>
        <v>118588.08888888887</v>
      </c>
      <c r="J71" s="19">
        <f t="shared" si="66"/>
        <v>120562.14494709305</v>
      </c>
      <c r="K71" s="19">
        <f t="shared" si="66"/>
        <v>122569.06178716365</v>
      </c>
      <c r="L71" s="19">
        <f t="shared" si="66"/>
        <v>124609.38642040784</v>
      </c>
      <c r="M71" s="19">
        <f t="shared" si="66"/>
        <v>126683.67496386169</v>
      </c>
      <c r="N71" s="19">
        <f t="shared" si="66"/>
        <v>128792.49279186712</v>
      </c>
      <c r="O71" s="19">
        <f t="shared" si="66"/>
        <v>130936.41469017189</v>
      </c>
      <c r="P71" s="19">
        <f t="shared" si="66"/>
        <v>133116.02501259514</v>
      </c>
      <c r="Q71" s="19">
        <f t="shared" si="66"/>
        <v>135331.91784030051</v>
      </c>
      <c r="R71" s="19">
        <f t="shared" si="66"/>
        <v>137584.69714372061</v>
      </c>
      <c r="S71" s="19">
        <f t="shared" si="66"/>
        <v>139874.97694717732</v>
      </c>
      <c r="T71" s="19">
        <f t="shared" si="66"/>
        <v>142203.38149624175</v>
      </c>
      <c r="U71" s="19">
        <f t="shared" si="66"/>
        <v>144570.54542788072</v>
      </c>
      <c r="V71" s="19">
        <f t="shared" si="66"/>
        <v>146977.11394343531</v>
      </c>
      <c r="W71" s="19">
        <f t="shared" si="66"/>
        <v>149423.74298447886</v>
      </c>
      <c r="X71" s="19">
        <f t="shared" si="66"/>
        <v>151911.09941160219</v>
      </c>
      <c r="Y71" s="19">
        <f t="shared" si="66"/>
        <v>154439.86118617558</v>
      </c>
      <c r="Z71" s="19">
        <f t="shared" si="66"/>
        <v>157010.71755513546</v>
      </c>
      <c r="AA71" s="19">
        <f t="shared" si="66"/>
        <v>159624.36923884807</v>
      </c>
      <c r="AB71" s="19">
        <f t="shared" si="66"/>
        <v>162281.52862209949</v>
      </c>
      <c r="AC71" s="19">
        <f t="shared" si="66"/>
        <v>164982.91994826586</v>
      </c>
      <c r="AD71" s="19">
        <f t="shared" si="66"/>
        <v>167729.27951671492</v>
      </c>
      <c r="AE71" s="19">
        <f t="shared" si="66"/>
        <v>170521.35588349425</v>
      </c>
      <c r="AF71" s="19">
        <f t="shared" si="66"/>
        <v>173359.91006535981</v>
      </c>
      <c r="AG71" s="19">
        <f t="shared" si="66"/>
        <v>176245.71574720112</v>
      </c>
      <c r="AH71" s="19">
        <f t="shared" si="66"/>
        <v>179179.55949291892</v>
      </c>
      <c r="AI71" s="19">
        <f t="shared" si="66"/>
        <v>182162.24095981364</v>
      </c>
      <c r="AJ71" s="19">
        <f t="shared" si="66"/>
        <v>185194.57311654222</v>
      </c>
      <c r="AK71" s="19">
        <f t="shared" si="66"/>
        <v>188277.38246470349</v>
      </c>
      <c r="AL71" s="19">
        <f t="shared" si="66"/>
        <v>191411.50926411172</v>
      </c>
      <c r="AM71" s="19">
        <f t="shared" si="66"/>
        <v>194597.80776182056</v>
      </c>
      <c r="AN71" s="19">
        <f t="shared" si="66"/>
        <v>197837.14642495895</v>
      </c>
      <c r="AO71" s="19">
        <f t="shared" si="66"/>
        <v>201130.40817744352</v>
      </c>
      <c r="AP71" s="19">
        <f t="shared" si="66"/>
        <v>204478.4906406306</v>
      </c>
      <c r="AQ71" s="19">
        <f t="shared" si="66"/>
        <v>207882.30637797489</v>
      </c>
      <c r="AR71" s="19">
        <f t="shared" si="66"/>
        <v>211342.78314376032</v>
      </c>
    </row>
    <row r="72" spans="1:44" ht="15">
      <c r="A72" s="2"/>
      <c r="B72" s="68" t="s">
        <v>116</v>
      </c>
      <c r="C72" s="297" t="s">
        <v>80</v>
      </c>
      <c r="D72" s="96">
        <f>SUM(F72:AR72)</f>
        <v>215285.56806577143</v>
      </c>
      <c r="E72" s="68"/>
      <c r="F72" s="97">
        <f>F67*$D$63</f>
        <v>3965.0738017416961</v>
      </c>
      <c r="G72" s="97">
        <f t="shared" ref="G72:AR72" si="67">G67*$D$63</f>
        <v>4031.0777152282244</v>
      </c>
      <c r="H72" s="97">
        <f t="shared" si="67"/>
        <v>4098.1803514153535</v>
      </c>
      <c r="I72" s="97">
        <f t="shared" si="67"/>
        <v>4166.3999999999996</v>
      </c>
      <c r="J72" s="97">
        <f t="shared" si="67"/>
        <v>4235.7552551353456</v>
      </c>
      <c r="K72" s="97">
        <f t="shared" si="67"/>
        <v>4306.2650204989186</v>
      </c>
      <c r="L72" s="97">
        <f t="shared" si="67"/>
        <v>4377.9485144450382</v>
      </c>
      <c r="M72" s="97">
        <f t="shared" si="67"/>
        <v>4450.8252752430271</v>
      </c>
      <c r="N72" s="97">
        <f t="shared" si="67"/>
        <v>4524.9151664026185</v>
      </c>
      <c r="O72" s="97">
        <f t="shared" si="67"/>
        <v>4600.2383820880177</v>
      </c>
      <c r="P72" s="97">
        <f t="shared" si="67"/>
        <v>4676.8154526220815</v>
      </c>
      <c r="Q72" s="97">
        <f t="shared" si="67"/>
        <v>4754.667250082126</v>
      </c>
      <c r="R72" s="97">
        <f t="shared" si="67"/>
        <v>4833.8149939888845</v>
      </c>
      <c r="S72" s="97">
        <f t="shared" si="67"/>
        <v>4914.2802570901595</v>
      </c>
      <c r="T72" s="97">
        <f t="shared" si="67"/>
        <v>4996.0849712407644</v>
      </c>
      <c r="U72" s="97">
        <f t="shared" si="67"/>
        <v>5079.2514333803247</v>
      </c>
      <c r="V72" s="97">
        <f t="shared" si="67"/>
        <v>5163.8023116106106</v>
      </c>
      <c r="W72" s="97">
        <f t="shared" si="67"/>
        <v>5249.7606513740138</v>
      </c>
      <c r="X72" s="97">
        <f t="shared" si="67"/>
        <v>5337.1498817348856</v>
      </c>
      <c r="Y72" s="97">
        <f t="shared" si="67"/>
        <v>5425.9938217654399</v>
      </c>
      <c r="Z72" s="97">
        <f t="shared" si="67"/>
        <v>5516.3166870379418</v>
      </c>
      <c r="AA72" s="97">
        <f t="shared" si="67"/>
        <v>5608.1430962249806</v>
      </c>
      <c r="AB72" s="97">
        <f t="shared" si="67"/>
        <v>5701.4980778096124</v>
      </c>
      <c r="AC72" s="97">
        <f t="shared" si="67"/>
        <v>5796.4070769071941</v>
      </c>
      <c r="AD72" s="97">
        <f t="shared" si="67"/>
        <v>5892.8959622007851</v>
      </c>
      <c r="AE72" s="97">
        <f t="shared" si="67"/>
        <v>5990.9910329919912</v>
      </c>
      <c r="AF72" s="97">
        <f t="shared" si="67"/>
        <v>6090.7190263691818</v>
      </c>
      <c r="AG72" s="97">
        <f t="shared" si="67"/>
        <v>6192.1071244950308</v>
      </c>
      <c r="AH72" s="97">
        <f t="shared" si="67"/>
        <v>6295.1829620153703</v>
      </c>
      <c r="AI72" s="97">
        <f t="shared" si="67"/>
        <v>6399.9746335913715</v>
      </c>
      <c r="AJ72" s="97">
        <f t="shared" si="67"/>
        <v>6506.510701557112</v>
      </c>
      <c r="AK72" s="97">
        <f t="shared" si="67"/>
        <v>6614.820203704613</v>
      </c>
      <c r="AL72" s="97">
        <f t="shared" si="67"/>
        <v>6724.9326611984607</v>
      </c>
      <c r="AM72" s="97">
        <f t="shared" si="67"/>
        <v>6836.8780866221932</v>
      </c>
      <c r="AN72" s="97">
        <f t="shared" si="67"/>
        <v>6950.6869921586103</v>
      </c>
      <c r="AO72" s="97">
        <f t="shared" si="67"/>
        <v>7066.3903979062788</v>
      </c>
      <c r="AP72" s="97">
        <f t="shared" si="67"/>
        <v>7184.0198403344521</v>
      </c>
      <c r="AQ72" s="97">
        <f t="shared" si="67"/>
        <v>7303.6073808787542</v>
      </c>
      <c r="AR72" s="97">
        <f t="shared" si="67"/>
        <v>7425.1856146799346</v>
      </c>
    </row>
    <row r="73" spans="1:44" ht="15">
      <c r="A73" s="2"/>
      <c r="B73" s="1" t="s">
        <v>246</v>
      </c>
      <c r="C73" s="292" t="s">
        <v>80</v>
      </c>
      <c r="D73" s="86">
        <f>SUM(F73:AR73)</f>
        <v>6342950.7183822654</v>
      </c>
      <c r="F73" s="19">
        <f>SUM(F71:F72)</f>
        <v>116822.82256613034</v>
      </c>
      <c r="G73" s="19">
        <f t="shared" ref="G73:AR73" si="68">SUM(G71:G72)</f>
        <v>118767.49342459452</v>
      </c>
      <c r="H73" s="19">
        <f t="shared" si="68"/>
        <v>120744.53590929309</v>
      </c>
      <c r="I73" s="19">
        <f t="shared" si="68"/>
        <v>122754.48888888887</v>
      </c>
      <c r="J73" s="19">
        <f t="shared" si="68"/>
        <v>124797.9002022284</v>
      </c>
      <c r="K73" s="19">
        <f t="shared" si="68"/>
        <v>126875.32680766257</v>
      </c>
      <c r="L73" s="19">
        <f t="shared" si="68"/>
        <v>128987.33493485289</v>
      </c>
      <c r="M73" s="19">
        <f t="shared" si="68"/>
        <v>131134.50023910473</v>
      </c>
      <c r="N73" s="19">
        <f t="shared" si="68"/>
        <v>133317.40795826973</v>
      </c>
      <c r="O73" s="19">
        <f t="shared" si="68"/>
        <v>135536.65307225991</v>
      </c>
      <c r="P73" s="19">
        <f t="shared" si="68"/>
        <v>137792.84046521722</v>
      </c>
      <c r="Q73" s="19">
        <f t="shared" si="68"/>
        <v>140086.58509038264</v>
      </c>
      <c r="R73" s="19">
        <f t="shared" si="68"/>
        <v>142418.51213770951</v>
      </c>
      <c r="S73" s="19">
        <f t="shared" si="68"/>
        <v>144789.25720426749</v>
      </c>
      <c r="T73" s="19">
        <f t="shared" si="68"/>
        <v>147199.4664674825</v>
      </c>
      <c r="U73" s="19">
        <f t="shared" si="68"/>
        <v>149649.79686126104</v>
      </c>
      <c r="V73" s="19">
        <f t="shared" si="68"/>
        <v>152140.91625504592</v>
      </c>
      <c r="W73" s="19">
        <f t="shared" si="68"/>
        <v>154673.50363585286</v>
      </c>
      <c r="X73" s="19">
        <f t="shared" si="68"/>
        <v>157248.24929333708</v>
      </c>
      <c r="Y73" s="19">
        <f t="shared" si="68"/>
        <v>159865.85500794102</v>
      </c>
      <c r="Z73" s="19">
        <f t="shared" si="68"/>
        <v>162527.03424217339</v>
      </c>
      <c r="AA73" s="19">
        <f t="shared" si="68"/>
        <v>165232.51233507306</v>
      </c>
      <c r="AB73" s="19">
        <f t="shared" si="68"/>
        <v>167983.0266999091</v>
      </c>
      <c r="AC73" s="19">
        <f t="shared" si="68"/>
        <v>170779.32702517306</v>
      </c>
      <c r="AD73" s="19">
        <f t="shared" si="68"/>
        <v>173622.17547891571</v>
      </c>
      <c r="AE73" s="19">
        <f t="shared" si="68"/>
        <v>176512.34691648625</v>
      </c>
      <c r="AF73" s="19">
        <f t="shared" si="68"/>
        <v>179450.629091729</v>
      </c>
      <c r="AG73" s="19">
        <f t="shared" si="68"/>
        <v>182437.82287169615</v>
      </c>
      <c r="AH73" s="19">
        <f t="shared" si="68"/>
        <v>185474.74245493428</v>
      </c>
      <c r="AI73" s="19">
        <f t="shared" si="68"/>
        <v>188562.21559340501</v>
      </c>
      <c r="AJ73" s="19">
        <f t="shared" si="68"/>
        <v>191701.08381809935</v>
      </c>
      <c r="AK73" s="19">
        <f t="shared" si="68"/>
        <v>194892.20266840811</v>
      </c>
      <c r="AL73" s="19">
        <f t="shared" si="68"/>
        <v>198136.44192531018</v>
      </c>
      <c r="AM73" s="19">
        <f t="shared" si="68"/>
        <v>201434.68584844275</v>
      </c>
      <c r="AN73" s="19">
        <f t="shared" si="68"/>
        <v>204787.83341711757</v>
      </c>
      <c r="AO73" s="19">
        <f t="shared" si="68"/>
        <v>208196.79857534979</v>
      </c>
      <c r="AP73" s="19">
        <f t="shared" si="68"/>
        <v>211662.51048096505</v>
      </c>
      <c r="AQ73" s="19">
        <f t="shared" si="68"/>
        <v>215185.91375885365</v>
      </c>
      <c r="AR73" s="19">
        <f t="shared" si="68"/>
        <v>218767.96875844026</v>
      </c>
    </row>
    <row r="74" spans="1:44" ht="15">
      <c r="A74" s="2"/>
      <c r="C74" s="292"/>
      <c r="D74" s="86"/>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row>
    <row r="75" spans="1:44" s="9" customFormat="1">
      <c r="A75" s="8" t="s">
        <v>253</v>
      </c>
      <c r="B75" s="8"/>
      <c r="C75" s="293"/>
    </row>
    <row r="76" spans="1:44" ht="15">
      <c r="A76" s="2" t="s">
        <v>254</v>
      </c>
      <c r="C76" s="21"/>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row>
    <row r="77" spans="1:44">
      <c r="B77" s="1" t="s">
        <v>221</v>
      </c>
      <c r="C77" s="292" t="s">
        <v>80</v>
      </c>
      <c r="D77" s="86">
        <f>SUM(F77:AR77)</f>
        <v>4154259.0529388841</v>
      </c>
      <c r="F77" s="19">
        <f t="shared" ref="F77:AR77" si="69">F$11*F15*(F$47-F$73)</f>
        <v>0</v>
      </c>
      <c r="G77" s="19">
        <f t="shared" si="69"/>
        <v>0</v>
      </c>
      <c r="H77" s="19">
        <f t="shared" si="69"/>
        <v>0</v>
      </c>
      <c r="I77" s="19">
        <f t="shared" si="69"/>
        <v>0</v>
      </c>
      <c r="J77" s="19">
        <f t="shared" si="69"/>
        <v>0</v>
      </c>
      <c r="K77" s="19">
        <f t="shared" si="69"/>
        <v>0</v>
      </c>
      <c r="L77" s="19">
        <f t="shared" si="69"/>
        <v>0</v>
      </c>
      <c r="M77" s="19">
        <f t="shared" si="69"/>
        <v>0</v>
      </c>
      <c r="N77" s="19">
        <f t="shared" si="69"/>
        <v>0</v>
      </c>
      <c r="O77" s="19">
        <f t="shared" si="69"/>
        <v>176759.78257810854</v>
      </c>
      <c r="P77" s="19">
        <f t="shared" si="69"/>
        <v>179702.18364818659</v>
      </c>
      <c r="Q77" s="19">
        <f t="shared" si="69"/>
        <v>182693.56488745756</v>
      </c>
      <c r="R77" s="19">
        <f t="shared" si="69"/>
        <v>185734.74163581469</v>
      </c>
      <c r="S77" s="19">
        <f t="shared" si="69"/>
        <v>188826.5428055654</v>
      </c>
      <c r="T77" s="19">
        <f t="shared" si="69"/>
        <v>191969.81110736204</v>
      </c>
      <c r="U77" s="19">
        <f t="shared" si="69"/>
        <v>195165.40327989348</v>
      </c>
      <c r="V77" s="19">
        <f t="shared" si="69"/>
        <v>198414.19032340095</v>
      </c>
      <c r="W77" s="19">
        <f t="shared" si="69"/>
        <v>201717.05773708006</v>
      </c>
      <c r="X77" s="19">
        <f t="shared" si="69"/>
        <v>205074.90576043501</v>
      </c>
      <c r="Y77" s="19">
        <f t="shared" si="69"/>
        <v>208488.64961865119</v>
      </c>
      <c r="Z77" s="19">
        <f t="shared" si="69"/>
        <v>211959.21977205106</v>
      </c>
      <c r="AA77" s="19">
        <f t="shared" si="69"/>
        <v>215487.56216970345</v>
      </c>
      <c r="AB77" s="19">
        <f t="shared" si="69"/>
        <v>219074.63850725474</v>
      </c>
      <c r="AC77" s="19">
        <f t="shared" si="69"/>
        <v>222721.42648905056</v>
      </c>
      <c r="AD77" s="19">
        <f t="shared" si="69"/>
        <v>226428.92009462285</v>
      </c>
      <c r="AE77" s="19">
        <f t="shared" si="69"/>
        <v>230198.12984961105</v>
      </c>
      <c r="AF77" s="19">
        <f t="shared" si="69"/>
        <v>234030.08310119499</v>
      </c>
      <c r="AG77" s="19">
        <f t="shared" si="69"/>
        <v>237925.82429811067</v>
      </c>
      <c r="AH77" s="19">
        <f t="shared" si="69"/>
        <v>241886.41527532908</v>
      </c>
      <c r="AI77" s="19">
        <f t="shared" si="69"/>
        <v>0</v>
      </c>
      <c r="AJ77" s="19">
        <f t="shared" si="69"/>
        <v>0</v>
      </c>
      <c r="AK77" s="19">
        <f t="shared" si="69"/>
        <v>0</v>
      </c>
      <c r="AL77" s="19">
        <f t="shared" si="69"/>
        <v>0</v>
      </c>
      <c r="AM77" s="19">
        <f t="shared" si="69"/>
        <v>0</v>
      </c>
      <c r="AN77" s="19">
        <f t="shared" si="69"/>
        <v>0</v>
      </c>
      <c r="AO77" s="19">
        <f t="shared" si="69"/>
        <v>0</v>
      </c>
      <c r="AP77" s="19">
        <f t="shared" si="69"/>
        <v>0</v>
      </c>
      <c r="AQ77" s="19">
        <f t="shared" si="69"/>
        <v>0</v>
      </c>
      <c r="AR77" s="19">
        <f t="shared" si="69"/>
        <v>0</v>
      </c>
    </row>
    <row r="78" spans="1:44">
      <c r="B78" s="1" t="s">
        <v>222</v>
      </c>
      <c r="C78" s="292" t="s">
        <v>80</v>
      </c>
      <c r="D78" s="86">
        <f>SUM(F78:AR78)</f>
        <v>2622885.2955027805</v>
      </c>
      <c r="F78" s="19">
        <f t="shared" ref="F78:AR78" si="70">F$11*F16*(F$47-F$73)</f>
        <v>0</v>
      </c>
      <c r="G78" s="19">
        <f t="shared" si="70"/>
        <v>0</v>
      </c>
      <c r="H78" s="19">
        <f t="shared" si="70"/>
        <v>0</v>
      </c>
      <c r="I78" s="19">
        <f t="shared" si="70"/>
        <v>0</v>
      </c>
      <c r="J78" s="19">
        <f t="shared" si="70"/>
        <v>0</v>
      </c>
      <c r="K78" s="19">
        <f t="shared" si="70"/>
        <v>0</v>
      </c>
      <c r="L78" s="19">
        <f t="shared" si="70"/>
        <v>0</v>
      </c>
      <c r="M78" s="19">
        <f t="shared" si="70"/>
        <v>0</v>
      </c>
      <c r="N78" s="19">
        <f t="shared" si="70"/>
        <v>0</v>
      </c>
      <c r="O78" s="19">
        <f t="shared" si="70"/>
        <v>148033.53512399161</v>
      </c>
      <c r="P78" s="19">
        <f t="shared" si="70"/>
        <v>146114.32009420494</v>
      </c>
      <c r="Q78" s="19">
        <f t="shared" si="70"/>
        <v>144219.9871718912</v>
      </c>
      <c r="R78" s="19">
        <f t="shared" si="70"/>
        <v>142350.21376720889</v>
      </c>
      <c r="S78" s="19">
        <f t="shared" si="70"/>
        <v>140504.68147260722</v>
      </c>
      <c r="T78" s="19">
        <f t="shared" si="70"/>
        <v>138683.07600860373</v>
      </c>
      <c r="U78" s="19">
        <f t="shared" si="70"/>
        <v>136885.087170265</v>
      </c>
      <c r="V78" s="19">
        <f t="shared" si="70"/>
        <v>135110.4087743813</v>
      </c>
      <c r="W78" s="19">
        <f t="shared" si="70"/>
        <v>133358.73860732609</v>
      </c>
      <c r="X78" s="19">
        <f t="shared" si="70"/>
        <v>131629.77837359117</v>
      </c>
      <c r="Y78" s="19">
        <f t="shared" si="70"/>
        <v>129923.23364498973</v>
      </c>
      <c r="Z78" s="19">
        <f t="shared" si="70"/>
        <v>128238.81381051709</v>
      </c>
      <c r="AA78" s="19">
        <f t="shared" si="70"/>
        <v>126576.23202686229</v>
      </c>
      <c r="AB78" s="19">
        <f t="shared" si="70"/>
        <v>124935.20516956104</v>
      </c>
      <c r="AC78" s="19">
        <f t="shared" si="70"/>
        <v>123315.45378478144</v>
      </c>
      <c r="AD78" s="19">
        <f t="shared" si="70"/>
        <v>121716.70204173563</v>
      </c>
      <c r="AE78" s="19">
        <f t="shared" si="70"/>
        <v>120138.67768570768</v>
      </c>
      <c r="AF78" s="19">
        <f t="shared" si="70"/>
        <v>118581.11199169123</v>
      </c>
      <c r="AG78" s="19">
        <f t="shared" si="70"/>
        <v>117043.73971862723</v>
      </c>
      <c r="AH78" s="19">
        <f t="shared" si="70"/>
        <v>115526.29906423575</v>
      </c>
      <c r="AI78" s="19">
        <f t="shared" si="70"/>
        <v>0</v>
      </c>
      <c r="AJ78" s="19">
        <f t="shared" si="70"/>
        <v>0</v>
      </c>
      <c r="AK78" s="19">
        <f t="shared" si="70"/>
        <v>0</v>
      </c>
      <c r="AL78" s="19">
        <f t="shared" si="70"/>
        <v>0</v>
      </c>
      <c r="AM78" s="19">
        <f t="shared" si="70"/>
        <v>0</v>
      </c>
      <c r="AN78" s="19">
        <f t="shared" si="70"/>
        <v>0</v>
      </c>
      <c r="AO78" s="19">
        <f t="shared" si="70"/>
        <v>0</v>
      </c>
      <c r="AP78" s="19">
        <f t="shared" si="70"/>
        <v>0</v>
      </c>
      <c r="AQ78" s="19">
        <f t="shared" si="70"/>
        <v>0</v>
      </c>
      <c r="AR78" s="19">
        <f t="shared" si="70"/>
        <v>0</v>
      </c>
    </row>
    <row r="79" spans="1:44">
      <c r="B79" s="1" t="s">
        <v>223</v>
      </c>
      <c r="C79" s="292" t="s">
        <v>80</v>
      </c>
      <c r="D79" s="86">
        <f>SUM(F79:AR79)</f>
        <v>1512886.0077103719</v>
      </c>
      <c r="F79" s="19">
        <f t="shared" ref="F79:AR79" si="71">F$11*F17*(F$47-F$73)</f>
        <v>0</v>
      </c>
      <c r="G79" s="19">
        <f t="shared" si="71"/>
        <v>0</v>
      </c>
      <c r="H79" s="19">
        <f t="shared" si="71"/>
        <v>0</v>
      </c>
      <c r="I79" s="19">
        <f t="shared" si="71"/>
        <v>0</v>
      </c>
      <c r="J79" s="19">
        <f t="shared" si="71"/>
        <v>0</v>
      </c>
      <c r="K79" s="19">
        <f t="shared" si="71"/>
        <v>0</v>
      </c>
      <c r="L79" s="19">
        <f t="shared" si="71"/>
        <v>0</v>
      </c>
      <c r="M79" s="19">
        <f t="shared" si="71"/>
        <v>0</v>
      </c>
      <c r="N79" s="19">
        <f t="shared" si="71"/>
        <v>0</v>
      </c>
      <c r="O79" s="19">
        <f t="shared" si="71"/>
        <v>117782.50660442009</v>
      </c>
      <c r="P79" s="19">
        <f t="shared" si="71"/>
        <v>111909.48848300558</v>
      </c>
      <c r="Q79" s="19">
        <f t="shared" si="71"/>
        <v>106329.31810994391</v>
      </c>
      <c r="R79" s="19">
        <f t="shared" si="71"/>
        <v>101027.39314586847</v>
      </c>
      <c r="S79" s="19">
        <f t="shared" si="71"/>
        <v>95989.839371455164</v>
      </c>
      <c r="T79" s="19">
        <f t="shared" si="71"/>
        <v>91203.47438099343</v>
      </c>
      <c r="U79" s="19">
        <f t="shared" si="71"/>
        <v>86655.773086313726</v>
      </c>
      <c r="V79" s="19">
        <f t="shared" si="71"/>
        <v>82334.834940801287</v>
      </c>
      <c r="W79" s="19">
        <f t="shared" si="71"/>
        <v>78229.352797726824</v>
      </c>
      <c r="X79" s="19">
        <f t="shared" si="71"/>
        <v>74328.583321401689</v>
      </c>
      <c r="Y79" s="19">
        <f t="shared" si="71"/>
        <v>70622.31887372963</v>
      </c>
      <c r="Z79" s="19">
        <f t="shared" si="71"/>
        <v>67100.860802585434</v>
      </c>
      <c r="AA79" s="19">
        <f t="shared" si="71"/>
        <v>63754.994062122343</v>
      </c>
      <c r="AB79" s="19">
        <f t="shared" si="71"/>
        <v>60575.963098593274</v>
      </c>
      <c r="AC79" s="19">
        <f t="shared" si="71"/>
        <v>57555.448938582806</v>
      </c>
      <c r="AD79" s="19">
        <f t="shared" si="71"/>
        <v>54685.547419694951</v>
      </c>
      <c r="AE79" s="19">
        <f t="shared" si="71"/>
        <v>51958.748506728931</v>
      </c>
      <c r="AF79" s="19">
        <f t="shared" si="71"/>
        <v>49367.916639218078</v>
      </c>
      <c r="AG79" s="19">
        <f t="shared" si="71"/>
        <v>46906.272058903727</v>
      </c>
      <c r="AH79" s="19">
        <f t="shared" si="71"/>
        <v>44567.373068282272</v>
      </c>
      <c r="AI79" s="19">
        <f t="shared" si="71"/>
        <v>0</v>
      </c>
      <c r="AJ79" s="19">
        <f t="shared" si="71"/>
        <v>0</v>
      </c>
      <c r="AK79" s="19">
        <f t="shared" si="71"/>
        <v>0</v>
      </c>
      <c r="AL79" s="19">
        <f t="shared" si="71"/>
        <v>0</v>
      </c>
      <c r="AM79" s="19">
        <f t="shared" si="71"/>
        <v>0</v>
      </c>
      <c r="AN79" s="19">
        <f t="shared" si="71"/>
        <v>0</v>
      </c>
      <c r="AO79" s="19">
        <f t="shared" si="71"/>
        <v>0</v>
      </c>
      <c r="AP79" s="19">
        <f t="shared" si="71"/>
        <v>0</v>
      </c>
      <c r="AQ79" s="19">
        <f t="shared" si="71"/>
        <v>0</v>
      </c>
      <c r="AR79" s="19">
        <f t="shared" si="71"/>
        <v>0</v>
      </c>
    </row>
    <row r="80" spans="1:44">
      <c r="C80" s="292"/>
      <c r="D80" s="86"/>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F4CD0-86FA-43CD-AE33-31957FAF9407}">
  <sheetPr>
    <tabColor theme="9"/>
  </sheetPr>
  <dimension ref="A1:AS108"/>
  <sheetViews>
    <sheetView workbookViewId="0">
      <pane xSplit="4" ySplit="11" topLeftCell="AG12" activePane="bottomRight" state="frozen"/>
      <selection pane="bottomRight" activeCell="A2" sqref="A2"/>
      <selection pane="bottomLeft" activeCell="A12" sqref="A12"/>
      <selection pane="topRight" activeCell="E1" sqref="E1"/>
    </sheetView>
  </sheetViews>
  <sheetFormatPr defaultColWidth="0" defaultRowHeight="14.25"/>
  <cols>
    <col min="1" max="1" width="10.5703125" style="1" customWidth="1"/>
    <col min="2" max="2" width="32.5703125" style="1" bestFit="1" customWidth="1"/>
    <col min="3" max="3" width="22.28515625" style="1" bestFit="1" customWidth="1"/>
    <col min="4" max="4" width="15.140625" style="1" bestFit="1" customWidth="1"/>
    <col min="5" max="5" width="1.5703125" style="1" customWidth="1"/>
    <col min="6" max="44" width="14.42578125" style="1" customWidth="1"/>
    <col min="45" max="45" width="9.140625" style="1" customWidth="1"/>
    <col min="46" max="16384" width="9.140625" style="1" hidden="1"/>
  </cols>
  <sheetData>
    <row r="1" spans="1:44" ht="19.5">
      <c r="A1" s="7" t="str">
        <f>Summary!$A$1</f>
        <v>Multimodal Improvements to Safely Connect Tulsa at US-75 and 81st Street Interchange</v>
      </c>
    </row>
    <row r="2" spans="1:44" ht="19.5">
      <c r="A2" s="7" t="s">
        <v>255</v>
      </c>
      <c r="C2" s="12"/>
    </row>
    <row r="3" spans="1:44">
      <c r="A3" s="55">
        <f ca="1">Summary!A3</f>
        <v>44984</v>
      </c>
      <c r="C3" s="12"/>
    </row>
    <row r="4" spans="1:44">
      <c r="A4" s="56" t="str">
        <f>Summary!A4</f>
        <v>All $ values 2021, unless otherwise noted</v>
      </c>
      <c r="C4" s="12"/>
    </row>
    <row r="5" spans="1:44">
      <c r="B5" s="70"/>
      <c r="C5" s="12"/>
    </row>
    <row r="6" spans="1:44">
      <c r="C6" s="1" t="s">
        <v>43</v>
      </c>
      <c r="D6" s="1" t="s">
        <v>44</v>
      </c>
    </row>
    <row r="7" spans="1:44" s="9" customFormat="1">
      <c r="A7" s="9" t="s">
        <v>204</v>
      </c>
      <c r="C7" s="293" t="s">
        <v>204</v>
      </c>
      <c r="F7" s="9">
        <f>Inputs!$E$12</f>
        <v>2018</v>
      </c>
      <c r="G7" s="9">
        <f>F7+1</f>
        <v>2019</v>
      </c>
      <c r="H7" s="9">
        <f t="shared" ref="H7:W8" si="0">G7+1</f>
        <v>2020</v>
      </c>
      <c r="I7" s="9">
        <f t="shared" si="0"/>
        <v>2021</v>
      </c>
      <c r="J7" s="9">
        <f t="shared" si="0"/>
        <v>2022</v>
      </c>
      <c r="K7" s="9">
        <f t="shared" si="0"/>
        <v>2023</v>
      </c>
      <c r="L7" s="9">
        <f t="shared" si="0"/>
        <v>2024</v>
      </c>
      <c r="M7" s="9">
        <f t="shared" si="0"/>
        <v>2025</v>
      </c>
      <c r="N7" s="9">
        <f t="shared" si="0"/>
        <v>2026</v>
      </c>
      <c r="O7" s="9">
        <f t="shared" si="0"/>
        <v>2027</v>
      </c>
      <c r="P7" s="9">
        <f t="shared" si="0"/>
        <v>2028</v>
      </c>
      <c r="Q7" s="9">
        <f t="shared" si="0"/>
        <v>2029</v>
      </c>
      <c r="R7" s="9">
        <f t="shared" si="0"/>
        <v>2030</v>
      </c>
      <c r="S7" s="9">
        <f t="shared" si="0"/>
        <v>2031</v>
      </c>
      <c r="T7" s="9">
        <f t="shared" si="0"/>
        <v>2032</v>
      </c>
      <c r="U7" s="9">
        <f t="shared" si="0"/>
        <v>2033</v>
      </c>
      <c r="V7" s="9">
        <f t="shared" si="0"/>
        <v>2034</v>
      </c>
      <c r="W7" s="9">
        <f t="shared" si="0"/>
        <v>2035</v>
      </c>
      <c r="X7" s="9">
        <f t="shared" ref="X7:AM8" si="1">W7+1</f>
        <v>2036</v>
      </c>
      <c r="Y7" s="9">
        <f t="shared" si="1"/>
        <v>2037</v>
      </c>
      <c r="Z7" s="9">
        <f t="shared" si="1"/>
        <v>2038</v>
      </c>
      <c r="AA7" s="9">
        <f t="shared" si="1"/>
        <v>2039</v>
      </c>
      <c r="AB7" s="9">
        <f t="shared" si="1"/>
        <v>2040</v>
      </c>
      <c r="AC7" s="9">
        <f t="shared" si="1"/>
        <v>2041</v>
      </c>
      <c r="AD7" s="9">
        <f t="shared" si="1"/>
        <v>2042</v>
      </c>
      <c r="AE7" s="9">
        <f t="shared" si="1"/>
        <v>2043</v>
      </c>
      <c r="AF7" s="9">
        <f t="shared" si="1"/>
        <v>2044</v>
      </c>
      <c r="AG7" s="9">
        <f t="shared" si="1"/>
        <v>2045</v>
      </c>
      <c r="AH7" s="9">
        <f t="shared" si="1"/>
        <v>2046</v>
      </c>
      <c r="AI7" s="9">
        <f t="shared" si="1"/>
        <v>2047</v>
      </c>
      <c r="AJ7" s="9">
        <f t="shared" si="1"/>
        <v>2048</v>
      </c>
      <c r="AK7" s="9">
        <f t="shared" si="1"/>
        <v>2049</v>
      </c>
      <c r="AL7" s="9">
        <f t="shared" si="1"/>
        <v>2050</v>
      </c>
      <c r="AM7" s="9">
        <f t="shared" si="1"/>
        <v>2051</v>
      </c>
      <c r="AN7" s="9">
        <f t="shared" ref="AN7:AR8" si="2">AM7+1</f>
        <v>2052</v>
      </c>
      <c r="AO7" s="9">
        <f t="shared" si="2"/>
        <v>2053</v>
      </c>
      <c r="AP7" s="9">
        <f t="shared" si="2"/>
        <v>2054</v>
      </c>
      <c r="AQ7" s="9">
        <f t="shared" si="2"/>
        <v>2055</v>
      </c>
      <c r="AR7" s="9">
        <f t="shared" si="2"/>
        <v>2056</v>
      </c>
    </row>
    <row r="8" spans="1:44">
      <c r="B8" s="1" t="s">
        <v>205</v>
      </c>
      <c r="C8" s="22" t="s">
        <v>49</v>
      </c>
      <c r="F8" s="1">
        <f>D8+1</f>
        <v>1</v>
      </c>
      <c r="G8" s="1">
        <f t="shared" ref="G8" si="3">F8+1</f>
        <v>2</v>
      </c>
      <c r="H8" s="1">
        <f t="shared" si="0"/>
        <v>3</v>
      </c>
      <c r="I8" s="1">
        <f t="shared" si="0"/>
        <v>4</v>
      </c>
      <c r="J8" s="1">
        <f t="shared" si="0"/>
        <v>5</v>
      </c>
      <c r="K8" s="1">
        <f t="shared" si="0"/>
        <v>6</v>
      </c>
      <c r="L8" s="1">
        <f t="shared" si="0"/>
        <v>7</v>
      </c>
      <c r="M8" s="1">
        <f t="shared" si="0"/>
        <v>8</v>
      </c>
      <c r="N8" s="1">
        <f t="shared" si="0"/>
        <v>9</v>
      </c>
      <c r="O8" s="1">
        <f t="shared" si="0"/>
        <v>10</v>
      </c>
      <c r="P8" s="1">
        <f t="shared" si="0"/>
        <v>11</v>
      </c>
      <c r="Q8" s="1">
        <f t="shared" si="0"/>
        <v>12</v>
      </c>
      <c r="R8" s="1">
        <f t="shared" si="0"/>
        <v>13</v>
      </c>
      <c r="S8" s="1">
        <f t="shared" si="0"/>
        <v>14</v>
      </c>
      <c r="T8" s="1">
        <f t="shared" si="0"/>
        <v>15</v>
      </c>
      <c r="U8" s="1">
        <f t="shared" si="0"/>
        <v>16</v>
      </c>
      <c r="V8" s="1">
        <f t="shared" si="0"/>
        <v>17</v>
      </c>
      <c r="W8" s="1">
        <f t="shared" si="0"/>
        <v>18</v>
      </c>
      <c r="X8" s="1">
        <f t="shared" si="1"/>
        <v>19</v>
      </c>
      <c r="Y8" s="1">
        <f t="shared" si="1"/>
        <v>20</v>
      </c>
      <c r="Z8" s="1">
        <f t="shared" si="1"/>
        <v>21</v>
      </c>
      <c r="AA8" s="1">
        <f t="shared" si="1"/>
        <v>22</v>
      </c>
      <c r="AB8" s="1">
        <f t="shared" si="1"/>
        <v>23</v>
      </c>
      <c r="AC8" s="1">
        <f t="shared" si="1"/>
        <v>24</v>
      </c>
      <c r="AD8" s="1">
        <f t="shared" si="1"/>
        <v>25</v>
      </c>
      <c r="AE8" s="1">
        <f t="shared" si="1"/>
        <v>26</v>
      </c>
      <c r="AF8" s="1">
        <f t="shared" si="1"/>
        <v>27</v>
      </c>
      <c r="AG8" s="1">
        <f t="shared" si="1"/>
        <v>28</v>
      </c>
      <c r="AH8" s="1">
        <f t="shared" si="1"/>
        <v>29</v>
      </c>
      <c r="AI8" s="1">
        <f t="shared" si="1"/>
        <v>30</v>
      </c>
      <c r="AJ8" s="1">
        <f t="shared" si="1"/>
        <v>31</v>
      </c>
      <c r="AK8" s="1">
        <f t="shared" si="1"/>
        <v>32</v>
      </c>
      <c r="AL8" s="1">
        <f t="shared" si="1"/>
        <v>33</v>
      </c>
      <c r="AM8" s="1">
        <f t="shared" si="1"/>
        <v>34</v>
      </c>
      <c r="AN8" s="1">
        <f t="shared" si="2"/>
        <v>35</v>
      </c>
      <c r="AO8" s="1">
        <f t="shared" si="2"/>
        <v>36</v>
      </c>
      <c r="AP8" s="1">
        <f t="shared" si="2"/>
        <v>37</v>
      </c>
      <c r="AQ8" s="1">
        <f t="shared" si="2"/>
        <v>38</v>
      </c>
      <c r="AR8" s="1">
        <f t="shared" si="2"/>
        <v>39</v>
      </c>
    </row>
    <row r="9" spans="1:44">
      <c r="B9" s="1" t="s">
        <v>206</v>
      </c>
      <c r="C9" s="22" t="s">
        <v>207</v>
      </c>
      <c r="F9" s="1">
        <f>IF(F7=Inputs!$E$13,1,0)</f>
        <v>0</v>
      </c>
      <c r="G9" s="1">
        <f>IF(G7=Inputs!$E$13,1,0)</f>
        <v>0</v>
      </c>
      <c r="H9" s="1">
        <f>IF(H7=Inputs!$E$13,1,0)</f>
        <v>0</v>
      </c>
      <c r="I9" s="1">
        <f>IF(I7=Inputs!$E$13,1,0)</f>
        <v>1</v>
      </c>
      <c r="J9" s="1">
        <f>IF(J7=Inputs!$E$13,1,0)</f>
        <v>0</v>
      </c>
      <c r="K9" s="1">
        <f>IF(K7=Inputs!$E$13,1,0)</f>
        <v>0</v>
      </c>
      <c r="L9" s="1">
        <f>IF(L7=Inputs!$E$13,1,0)</f>
        <v>0</v>
      </c>
      <c r="M9" s="1">
        <f>IF(M7=Inputs!$E$13,1,0)</f>
        <v>0</v>
      </c>
      <c r="N9" s="1">
        <f>IF(N7=Inputs!$E$13,1,0)</f>
        <v>0</v>
      </c>
      <c r="O9" s="1">
        <f>IF(O7=Inputs!$E$13,1,0)</f>
        <v>0</v>
      </c>
      <c r="P9" s="1">
        <f>IF(P7=Inputs!$E$13,1,0)</f>
        <v>0</v>
      </c>
      <c r="Q9" s="1">
        <f>IF(Q7=Inputs!$E$13,1,0)</f>
        <v>0</v>
      </c>
      <c r="R9" s="1">
        <f>IF(R7=Inputs!$E$13,1,0)</f>
        <v>0</v>
      </c>
      <c r="S9" s="1">
        <f>IF(S7=Inputs!$E$13,1,0)</f>
        <v>0</v>
      </c>
      <c r="T9" s="1">
        <f>IF(T7=Inputs!$E$13,1,0)</f>
        <v>0</v>
      </c>
      <c r="U9" s="1">
        <f>IF(U7=Inputs!$E$13,1,0)</f>
        <v>0</v>
      </c>
      <c r="V9" s="1">
        <f>IF(V7=Inputs!$E$13,1,0)</f>
        <v>0</v>
      </c>
      <c r="W9" s="1">
        <f>IF(W7=Inputs!$E$13,1,0)</f>
        <v>0</v>
      </c>
      <c r="X9" s="1">
        <f>IF(X7=Inputs!$E$13,1,0)</f>
        <v>0</v>
      </c>
      <c r="Y9" s="1">
        <f>IF(Y7=Inputs!$E$13,1,0)</f>
        <v>0</v>
      </c>
      <c r="Z9" s="1">
        <f>IF(Z7=Inputs!$E$13,1,0)</f>
        <v>0</v>
      </c>
      <c r="AA9" s="1">
        <f>IF(AA7=Inputs!$E$13,1,0)</f>
        <v>0</v>
      </c>
      <c r="AB9" s="1">
        <f>IF(AB7=Inputs!$E$13,1,0)</f>
        <v>0</v>
      </c>
      <c r="AC9" s="1">
        <f>IF(AC7=Inputs!$E$13,1,0)</f>
        <v>0</v>
      </c>
      <c r="AD9" s="1">
        <f>IF(AD7=Inputs!$E$13,1,0)</f>
        <v>0</v>
      </c>
      <c r="AE9" s="1">
        <f>IF(AE7=Inputs!$E$13,1,0)</f>
        <v>0</v>
      </c>
      <c r="AF9" s="1">
        <f>IF(AF7=Inputs!$E$13,1,0)</f>
        <v>0</v>
      </c>
      <c r="AG9" s="1">
        <f>IF(AG7=Inputs!$E$13,1,0)</f>
        <v>0</v>
      </c>
      <c r="AH9" s="1">
        <f>IF(AH7=Inputs!$E$13,1,0)</f>
        <v>0</v>
      </c>
      <c r="AI9" s="1">
        <f>IF(AI7=Inputs!$E$13,1,0)</f>
        <v>0</v>
      </c>
      <c r="AJ9" s="1">
        <f>IF(AJ7=Inputs!$E$13,1,0)</f>
        <v>0</v>
      </c>
      <c r="AK9" s="1">
        <f>IF(AK7=Inputs!$E$13,1,0)</f>
        <v>0</v>
      </c>
      <c r="AL9" s="1">
        <f>IF(AL7=Inputs!$E$13,1,0)</f>
        <v>0</v>
      </c>
      <c r="AM9" s="1">
        <f>IF(AM7=Inputs!$E$13,1,0)</f>
        <v>0</v>
      </c>
      <c r="AN9" s="1">
        <f>IF(AN7=Inputs!$E$13,1,0)</f>
        <v>0</v>
      </c>
      <c r="AO9" s="1">
        <f>IF(AO7=Inputs!$E$13,1,0)</f>
        <v>0</v>
      </c>
      <c r="AP9" s="1">
        <f>IF(AP7=Inputs!$E$13,1,0)</f>
        <v>0</v>
      </c>
      <c r="AQ9" s="1">
        <f>IF(AQ7=Inputs!$E$13,1,0)</f>
        <v>0</v>
      </c>
      <c r="AR9" s="1">
        <f>IF(AR7=Inputs!$E$13,1,0)</f>
        <v>0</v>
      </c>
    </row>
    <row r="10" spans="1:44">
      <c r="B10" s="1" t="s">
        <v>208</v>
      </c>
      <c r="C10" s="22" t="s">
        <v>56</v>
      </c>
      <c r="F10" s="1">
        <f t="shared" ref="F10:H10" si="4">F7-$I$7+1</f>
        <v>-2</v>
      </c>
      <c r="G10" s="1">
        <f t="shared" si="4"/>
        <v>-1</v>
      </c>
      <c r="H10" s="1">
        <f t="shared" si="4"/>
        <v>0</v>
      </c>
      <c r="I10" s="1">
        <f>I7-$I$7+1</f>
        <v>1</v>
      </c>
      <c r="J10" s="1">
        <f t="shared" ref="J10:AR10" si="5">J7-$I$7+1</f>
        <v>2</v>
      </c>
      <c r="K10" s="1">
        <f t="shared" si="5"/>
        <v>3</v>
      </c>
      <c r="L10" s="1">
        <f t="shared" si="5"/>
        <v>4</v>
      </c>
      <c r="M10" s="1">
        <f t="shared" si="5"/>
        <v>5</v>
      </c>
      <c r="N10" s="1">
        <f t="shared" si="5"/>
        <v>6</v>
      </c>
      <c r="O10" s="1">
        <f t="shared" si="5"/>
        <v>7</v>
      </c>
      <c r="P10" s="1">
        <f t="shared" si="5"/>
        <v>8</v>
      </c>
      <c r="Q10" s="1">
        <f t="shared" si="5"/>
        <v>9</v>
      </c>
      <c r="R10" s="1">
        <f t="shared" si="5"/>
        <v>10</v>
      </c>
      <c r="S10" s="1">
        <f t="shared" si="5"/>
        <v>11</v>
      </c>
      <c r="T10" s="1">
        <f t="shared" si="5"/>
        <v>12</v>
      </c>
      <c r="U10" s="1">
        <f t="shared" si="5"/>
        <v>13</v>
      </c>
      <c r="V10" s="1">
        <f t="shared" si="5"/>
        <v>14</v>
      </c>
      <c r="W10" s="1">
        <f t="shared" si="5"/>
        <v>15</v>
      </c>
      <c r="X10" s="1">
        <f t="shared" si="5"/>
        <v>16</v>
      </c>
      <c r="Y10" s="1">
        <f t="shared" si="5"/>
        <v>17</v>
      </c>
      <c r="Z10" s="1">
        <f t="shared" si="5"/>
        <v>18</v>
      </c>
      <c r="AA10" s="1">
        <f t="shared" si="5"/>
        <v>19</v>
      </c>
      <c r="AB10" s="1">
        <f t="shared" si="5"/>
        <v>20</v>
      </c>
      <c r="AC10" s="1">
        <f t="shared" si="5"/>
        <v>21</v>
      </c>
      <c r="AD10" s="1">
        <f t="shared" si="5"/>
        <v>22</v>
      </c>
      <c r="AE10" s="1">
        <f t="shared" si="5"/>
        <v>23</v>
      </c>
      <c r="AF10" s="1">
        <f t="shared" si="5"/>
        <v>24</v>
      </c>
      <c r="AG10" s="1">
        <f t="shared" si="5"/>
        <v>25</v>
      </c>
      <c r="AH10" s="1">
        <f t="shared" si="5"/>
        <v>26</v>
      </c>
      <c r="AI10" s="1">
        <f t="shared" si="5"/>
        <v>27</v>
      </c>
      <c r="AJ10" s="1">
        <f t="shared" si="5"/>
        <v>28</v>
      </c>
      <c r="AK10" s="1">
        <f t="shared" si="5"/>
        <v>29</v>
      </c>
      <c r="AL10" s="1">
        <f t="shared" si="5"/>
        <v>30</v>
      </c>
      <c r="AM10" s="1">
        <f t="shared" si="5"/>
        <v>31</v>
      </c>
      <c r="AN10" s="1">
        <f t="shared" si="5"/>
        <v>32</v>
      </c>
      <c r="AO10" s="1">
        <f t="shared" si="5"/>
        <v>33</v>
      </c>
      <c r="AP10" s="1">
        <f t="shared" si="5"/>
        <v>34</v>
      </c>
      <c r="AQ10" s="1">
        <f t="shared" si="5"/>
        <v>35</v>
      </c>
      <c r="AR10" s="1">
        <f t="shared" si="5"/>
        <v>36</v>
      </c>
    </row>
    <row r="11" spans="1:44">
      <c r="B11" s="1" t="s">
        <v>209</v>
      </c>
      <c r="C11" s="22" t="s">
        <v>207</v>
      </c>
      <c r="F11" s="1">
        <f>IF(AND(F7&gt;=Inputs!$E$17,F7&lt;Inputs!$E$21),1,0)</f>
        <v>0</v>
      </c>
      <c r="G11" s="1">
        <f>IF(AND(G7&gt;=Inputs!$E$17,G7&lt;Inputs!$E$21),1,0)</f>
        <v>0</v>
      </c>
      <c r="H11" s="1">
        <f>IF(AND(H7&gt;=Inputs!$E$17,H7&lt;Inputs!$E$21),1,0)</f>
        <v>0</v>
      </c>
      <c r="I11" s="1">
        <f>IF(AND(I7&gt;=Inputs!$E$17,I7&lt;Inputs!$E$21),1,0)</f>
        <v>0</v>
      </c>
      <c r="J11" s="1">
        <f>IF(AND(J7&gt;=Inputs!$E$17,J7&lt;Inputs!$E$21),1,0)</f>
        <v>0</v>
      </c>
      <c r="K11" s="1">
        <f>IF(AND(K7&gt;=Inputs!$E$17,K7&lt;Inputs!$E$21),1,0)</f>
        <v>0</v>
      </c>
      <c r="L11" s="1">
        <f>IF(AND(L7&gt;=Inputs!$E$17,L7&lt;Inputs!$E$21),1,0)</f>
        <v>0</v>
      </c>
      <c r="M11" s="1">
        <f>IF(AND(M7&gt;=Inputs!$E$17,M7&lt;Inputs!$E$21),1,0)</f>
        <v>0</v>
      </c>
      <c r="N11" s="1">
        <f>IF(AND(N7&gt;=Inputs!$E$17,N7&lt;Inputs!$E$21),1,0)</f>
        <v>0</v>
      </c>
      <c r="O11" s="1">
        <f>IF(AND(O7&gt;=Inputs!$E$17,O7&lt;Inputs!$E$21),1,0)</f>
        <v>1</v>
      </c>
      <c r="P11" s="1">
        <f>IF(AND(P7&gt;=Inputs!$E$17,P7&lt;Inputs!$E$21),1,0)</f>
        <v>1</v>
      </c>
      <c r="Q11" s="1">
        <f>IF(AND(Q7&gt;=Inputs!$E$17,Q7&lt;Inputs!$E$21),1,0)</f>
        <v>1</v>
      </c>
      <c r="R11" s="1">
        <f>IF(AND(R7&gt;=Inputs!$E$17,R7&lt;Inputs!$E$21),1,0)</f>
        <v>1</v>
      </c>
      <c r="S11" s="1">
        <f>IF(AND(S7&gt;=Inputs!$E$17,S7&lt;Inputs!$E$21),1,0)</f>
        <v>1</v>
      </c>
      <c r="T11" s="1">
        <f>IF(AND(T7&gt;=Inputs!$E$17,T7&lt;Inputs!$E$21),1,0)</f>
        <v>1</v>
      </c>
      <c r="U11" s="1">
        <f>IF(AND(U7&gt;=Inputs!$E$17,U7&lt;Inputs!$E$21),1,0)</f>
        <v>1</v>
      </c>
      <c r="V11" s="1">
        <f>IF(AND(V7&gt;=Inputs!$E$17,V7&lt;Inputs!$E$21),1,0)</f>
        <v>1</v>
      </c>
      <c r="W11" s="1">
        <f>IF(AND(W7&gt;=Inputs!$E$17,W7&lt;Inputs!$E$21),1,0)</f>
        <v>1</v>
      </c>
      <c r="X11" s="1">
        <f>IF(AND(X7&gt;=Inputs!$E$17,X7&lt;Inputs!$E$21),1,0)</f>
        <v>1</v>
      </c>
      <c r="Y11" s="1">
        <f>IF(AND(Y7&gt;=Inputs!$E$17,Y7&lt;Inputs!$E$21),1,0)</f>
        <v>1</v>
      </c>
      <c r="Z11" s="1">
        <f>IF(AND(Z7&gt;=Inputs!$E$17,Z7&lt;Inputs!$E$21),1,0)</f>
        <v>1</v>
      </c>
      <c r="AA11" s="1">
        <f>IF(AND(AA7&gt;=Inputs!$E$17,AA7&lt;Inputs!$E$21),1,0)</f>
        <v>1</v>
      </c>
      <c r="AB11" s="1">
        <f>IF(AND(AB7&gt;=Inputs!$E$17,AB7&lt;Inputs!$E$21),1,0)</f>
        <v>1</v>
      </c>
      <c r="AC11" s="1">
        <f>IF(AND(AC7&gt;=Inputs!$E$17,AC7&lt;Inputs!$E$21),1,0)</f>
        <v>1</v>
      </c>
      <c r="AD11" s="1">
        <f>IF(AND(AD7&gt;=Inputs!$E$17,AD7&lt;Inputs!$E$21),1,0)</f>
        <v>1</v>
      </c>
      <c r="AE11" s="1">
        <f>IF(AND(AE7&gt;=Inputs!$E$17,AE7&lt;Inputs!$E$21),1,0)</f>
        <v>1</v>
      </c>
      <c r="AF11" s="1">
        <f>IF(AND(AF7&gt;=Inputs!$E$17,AF7&lt;Inputs!$E$21),1,0)</f>
        <v>1</v>
      </c>
      <c r="AG11" s="1">
        <f>IF(AND(AG7&gt;=Inputs!$E$17,AG7&lt;Inputs!$E$21),1,0)</f>
        <v>1</v>
      </c>
      <c r="AH11" s="1">
        <f>IF(AND(AH7&gt;=Inputs!$E$17,AH7&lt;Inputs!$E$21),1,0)</f>
        <v>1</v>
      </c>
      <c r="AI11" s="1">
        <f>IF(AND(AI7&gt;=Inputs!$E$17,AI7&lt;Inputs!$E$21),1,0)</f>
        <v>0</v>
      </c>
      <c r="AJ11" s="1">
        <f>IF(AND(AJ7&gt;=Inputs!$E$17,AJ7&lt;Inputs!$E$21),1,0)</f>
        <v>0</v>
      </c>
      <c r="AK11" s="1">
        <f>IF(AND(AK7&gt;=Inputs!$E$17,AK7&lt;Inputs!$E$21),1,0)</f>
        <v>0</v>
      </c>
      <c r="AL11" s="1">
        <f>IF(AND(AL7&gt;=Inputs!$E$17,AL7&lt;Inputs!$E$21),1,0)</f>
        <v>0</v>
      </c>
      <c r="AM11" s="1">
        <f>IF(AND(AM7&gt;=Inputs!$E$17,AM7&lt;Inputs!$E$21),1,0)</f>
        <v>0</v>
      </c>
      <c r="AN11" s="1">
        <f>IF(AND(AN7&gt;=Inputs!$E$17,AN7&lt;Inputs!$E$21),1,0)</f>
        <v>0</v>
      </c>
      <c r="AO11" s="1">
        <f>IF(AND(AO7&gt;=Inputs!$E$17,AO7&lt;Inputs!$E$21),1,0)</f>
        <v>0</v>
      </c>
      <c r="AP11" s="1">
        <f>IF(AND(AP7&gt;=Inputs!$E$17,AP7&lt;Inputs!$E$21),1,0)</f>
        <v>0</v>
      </c>
      <c r="AQ11" s="1">
        <f>IF(AND(AQ7&gt;=Inputs!$E$17,AQ7&lt;Inputs!$E$21),1,0)</f>
        <v>0</v>
      </c>
      <c r="AR11" s="1">
        <f>IF(AND(AR7&gt;=Inputs!$E$17,AR7&lt;Inputs!$E$21),1,0)</f>
        <v>0</v>
      </c>
    </row>
    <row r="12" spans="1:44" ht="15">
      <c r="A12" s="2" t="s">
        <v>210</v>
      </c>
      <c r="C12" s="22"/>
    </row>
    <row r="13" spans="1:44">
      <c r="B13" s="1" t="s">
        <v>211</v>
      </c>
      <c r="C13" s="22" t="s">
        <v>49</v>
      </c>
      <c r="F13" s="1">
        <f>(F11+D13)*F11</f>
        <v>0</v>
      </c>
      <c r="G13" s="1">
        <f t="shared" ref="G13:AG13" si="6">(G11+F13)*G11</f>
        <v>0</v>
      </c>
      <c r="H13" s="1">
        <f t="shared" si="6"/>
        <v>0</v>
      </c>
      <c r="I13" s="1">
        <f t="shared" si="6"/>
        <v>0</v>
      </c>
      <c r="J13" s="1">
        <f t="shared" si="6"/>
        <v>0</v>
      </c>
      <c r="K13" s="1">
        <f t="shared" si="6"/>
        <v>0</v>
      </c>
      <c r="L13" s="1">
        <f t="shared" si="6"/>
        <v>0</v>
      </c>
      <c r="M13" s="1">
        <f t="shared" si="6"/>
        <v>0</v>
      </c>
      <c r="N13" s="1">
        <f t="shared" si="6"/>
        <v>0</v>
      </c>
      <c r="O13" s="1">
        <f t="shared" si="6"/>
        <v>1</v>
      </c>
      <c r="P13" s="1">
        <f t="shared" si="6"/>
        <v>2</v>
      </c>
      <c r="Q13" s="1">
        <f t="shared" si="6"/>
        <v>3</v>
      </c>
      <c r="R13" s="1">
        <f t="shared" si="6"/>
        <v>4</v>
      </c>
      <c r="S13" s="1">
        <f t="shared" si="6"/>
        <v>5</v>
      </c>
      <c r="T13" s="1">
        <f t="shared" si="6"/>
        <v>6</v>
      </c>
      <c r="U13" s="1">
        <f t="shared" si="6"/>
        <v>7</v>
      </c>
      <c r="V13" s="1">
        <f t="shared" si="6"/>
        <v>8</v>
      </c>
      <c r="W13" s="1">
        <f t="shared" si="6"/>
        <v>9</v>
      </c>
      <c r="X13" s="1">
        <f t="shared" si="6"/>
        <v>10</v>
      </c>
      <c r="Y13" s="1">
        <f t="shared" si="6"/>
        <v>11</v>
      </c>
      <c r="Z13" s="1">
        <f t="shared" si="6"/>
        <v>12</v>
      </c>
      <c r="AA13" s="1">
        <f t="shared" si="6"/>
        <v>13</v>
      </c>
      <c r="AB13" s="1">
        <f t="shared" si="6"/>
        <v>14</v>
      </c>
      <c r="AC13" s="1">
        <f t="shared" si="6"/>
        <v>15</v>
      </c>
      <c r="AD13" s="1">
        <f t="shared" si="6"/>
        <v>16</v>
      </c>
      <c r="AE13" s="1">
        <f t="shared" si="6"/>
        <v>17</v>
      </c>
      <c r="AF13" s="1">
        <f t="shared" si="6"/>
        <v>18</v>
      </c>
      <c r="AG13" s="1">
        <f t="shared" si="6"/>
        <v>19</v>
      </c>
      <c r="AH13" s="1">
        <f>(AH11+AG13)*AH11</f>
        <v>20</v>
      </c>
      <c r="AI13" s="1">
        <f t="shared" ref="AI13:AR13" si="7">(AI11+AH13)*AI11</f>
        <v>0</v>
      </c>
      <c r="AJ13" s="1">
        <f t="shared" si="7"/>
        <v>0</v>
      </c>
      <c r="AK13" s="1">
        <f t="shared" si="7"/>
        <v>0</v>
      </c>
      <c r="AL13" s="1">
        <f t="shared" si="7"/>
        <v>0</v>
      </c>
      <c r="AM13" s="1">
        <f t="shared" si="7"/>
        <v>0</v>
      </c>
      <c r="AN13" s="1">
        <f t="shared" si="7"/>
        <v>0</v>
      </c>
      <c r="AO13" s="1">
        <f t="shared" si="7"/>
        <v>0</v>
      </c>
      <c r="AP13" s="1">
        <f t="shared" si="7"/>
        <v>0</v>
      </c>
      <c r="AQ13" s="1">
        <f t="shared" si="7"/>
        <v>0</v>
      </c>
      <c r="AR13" s="1">
        <f t="shared" si="7"/>
        <v>0</v>
      </c>
    </row>
    <row r="14" spans="1:44" ht="15">
      <c r="A14" s="2" t="s">
        <v>9</v>
      </c>
      <c r="C14" s="22"/>
    </row>
    <row r="15" spans="1:44">
      <c r="B15" s="1" t="s">
        <v>65</v>
      </c>
      <c r="C15" s="22" t="s">
        <v>49</v>
      </c>
      <c r="D15" s="73">
        <f>Inputs!E24</f>
        <v>0</v>
      </c>
      <c r="E15" s="73"/>
      <c r="F15" s="3">
        <f>1/(1+$D15)^(F$10-1)</f>
        <v>1</v>
      </c>
      <c r="G15" s="3">
        <f t="shared" ref="G15:AR15" si="8">1/(1+$D15)^(G$10-1)</f>
        <v>1</v>
      </c>
      <c r="H15" s="3">
        <f t="shared" si="8"/>
        <v>1</v>
      </c>
      <c r="I15" s="3">
        <f t="shared" si="8"/>
        <v>1</v>
      </c>
      <c r="J15" s="3">
        <f t="shared" si="8"/>
        <v>1</v>
      </c>
      <c r="K15" s="3">
        <f t="shared" si="8"/>
        <v>1</v>
      </c>
      <c r="L15" s="3">
        <f t="shared" si="8"/>
        <v>1</v>
      </c>
      <c r="M15" s="3">
        <f t="shared" si="8"/>
        <v>1</v>
      </c>
      <c r="N15" s="3">
        <f t="shared" si="8"/>
        <v>1</v>
      </c>
      <c r="O15" s="3">
        <f t="shared" si="8"/>
        <v>1</v>
      </c>
      <c r="P15" s="3">
        <f t="shared" si="8"/>
        <v>1</v>
      </c>
      <c r="Q15" s="3">
        <f t="shared" si="8"/>
        <v>1</v>
      </c>
      <c r="R15" s="3">
        <f t="shared" si="8"/>
        <v>1</v>
      </c>
      <c r="S15" s="3">
        <f t="shared" si="8"/>
        <v>1</v>
      </c>
      <c r="T15" s="3">
        <f t="shared" si="8"/>
        <v>1</v>
      </c>
      <c r="U15" s="3">
        <f t="shared" si="8"/>
        <v>1</v>
      </c>
      <c r="V15" s="3">
        <f t="shared" si="8"/>
        <v>1</v>
      </c>
      <c r="W15" s="3">
        <f t="shared" si="8"/>
        <v>1</v>
      </c>
      <c r="X15" s="3">
        <f t="shared" si="8"/>
        <v>1</v>
      </c>
      <c r="Y15" s="3">
        <f t="shared" si="8"/>
        <v>1</v>
      </c>
      <c r="Z15" s="3">
        <f t="shared" si="8"/>
        <v>1</v>
      </c>
      <c r="AA15" s="3">
        <f t="shared" si="8"/>
        <v>1</v>
      </c>
      <c r="AB15" s="3">
        <f t="shared" si="8"/>
        <v>1</v>
      </c>
      <c r="AC15" s="3">
        <f t="shared" si="8"/>
        <v>1</v>
      </c>
      <c r="AD15" s="3">
        <f t="shared" si="8"/>
        <v>1</v>
      </c>
      <c r="AE15" s="3">
        <f t="shared" si="8"/>
        <v>1</v>
      </c>
      <c r="AF15" s="3">
        <f t="shared" si="8"/>
        <v>1</v>
      </c>
      <c r="AG15" s="3">
        <f t="shared" si="8"/>
        <v>1</v>
      </c>
      <c r="AH15" s="3">
        <f t="shared" si="8"/>
        <v>1</v>
      </c>
      <c r="AI15" s="3">
        <f t="shared" si="8"/>
        <v>1</v>
      </c>
      <c r="AJ15" s="3">
        <f t="shared" si="8"/>
        <v>1</v>
      </c>
      <c r="AK15" s="3">
        <f t="shared" si="8"/>
        <v>1</v>
      </c>
      <c r="AL15" s="3">
        <f t="shared" si="8"/>
        <v>1</v>
      </c>
      <c r="AM15" s="3">
        <f t="shared" si="8"/>
        <v>1</v>
      </c>
      <c r="AN15" s="3">
        <f t="shared" si="8"/>
        <v>1</v>
      </c>
      <c r="AO15" s="3">
        <f t="shared" si="8"/>
        <v>1</v>
      </c>
      <c r="AP15" s="3">
        <f t="shared" si="8"/>
        <v>1</v>
      </c>
      <c r="AQ15" s="3">
        <f t="shared" si="8"/>
        <v>1</v>
      </c>
      <c r="AR15" s="3">
        <f t="shared" si="8"/>
        <v>1</v>
      </c>
    </row>
    <row r="16" spans="1:44">
      <c r="B16" s="1" t="s">
        <v>67</v>
      </c>
      <c r="C16" s="22" t="s">
        <v>49</v>
      </c>
      <c r="D16" s="73">
        <f>Inputs!E25</f>
        <v>0.03</v>
      </c>
      <c r="E16" s="73"/>
      <c r="F16" s="3">
        <f t="shared" ref="F16:G16" si="9">MIN(1,IF(F10=0,1,1/(1+$D16)^(F$10-1)))</f>
        <v>1</v>
      </c>
      <c r="G16" s="3">
        <f t="shared" si="9"/>
        <v>1</v>
      </c>
      <c r="H16" s="3">
        <f>MIN(1,IF(H10=0,1,1/(1+$D16)^(H$10-1)))</f>
        <v>1</v>
      </c>
      <c r="I16" s="3">
        <f t="shared" ref="I16:AR16" si="10">MIN(1,IF(I10=0,1,1/(1+$D16)^(I$10-1)))</f>
        <v>1</v>
      </c>
      <c r="J16" s="3">
        <f t="shared" si="10"/>
        <v>0.970873786407767</v>
      </c>
      <c r="K16" s="3">
        <f t="shared" si="10"/>
        <v>0.94259590913375435</v>
      </c>
      <c r="L16" s="3">
        <f t="shared" si="10"/>
        <v>0.91514165935315961</v>
      </c>
      <c r="M16" s="3">
        <f t="shared" si="10"/>
        <v>0.888487047915689</v>
      </c>
      <c r="N16" s="3">
        <f t="shared" si="10"/>
        <v>0.86260878438416411</v>
      </c>
      <c r="O16" s="3">
        <f t="shared" si="10"/>
        <v>0.83748425668365445</v>
      </c>
      <c r="P16" s="3">
        <f t="shared" si="10"/>
        <v>0.81309151134335378</v>
      </c>
      <c r="Q16" s="3">
        <f t="shared" si="10"/>
        <v>0.78940923431393573</v>
      </c>
      <c r="R16" s="3">
        <f t="shared" si="10"/>
        <v>0.76641673234362695</v>
      </c>
      <c r="S16" s="3">
        <f t="shared" si="10"/>
        <v>0.74409391489672516</v>
      </c>
      <c r="T16" s="3">
        <f t="shared" si="10"/>
        <v>0.72242127659876232</v>
      </c>
      <c r="U16" s="3">
        <f t="shared" si="10"/>
        <v>0.70137988019297326</v>
      </c>
      <c r="V16" s="3">
        <f t="shared" si="10"/>
        <v>0.68095133999317792</v>
      </c>
      <c r="W16" s="3">
        <f t="shared" si="10"/>
        <v>0.66111780581861923</v>
      </c>
      <c r="X16" s="3">
        <f t="shared" si="10"/>
        <v>0.64186194739671765</v>
      </c>
      <c r="Y16" s="3">
        <f t="shared" si="10"/>
        <v>0.62316693922011435</v>
      </c>
      <c r="Z16" s="3">
        <f t="shared" si="10"/>
        <v>0.60501644584477121</v>
      </c>
      <c r="AA16" s="3">
        <f t="shared" si="10"/>
        <v>0.5873946076162827</v>
      </c>
      <c r="AB16" s="3">
        <f t="shared" si="10"/>
        <v>0.57028602681192497</v>
      </c>
      <c r="AC16" s="3">
        <f t="shared" si="10"/>
        <v>0.55367575418633497</v>
      </c>
      <c r="AD16" s="3">
        <f t="shared" si="10"/>
        <v>0.5375492759090631</v>
      </c>
      <c r="AE16" s="3">
        <f t="shared" si="10"/>
        <v>0.52189250088258554</v>
      </c>
      <c r="AF16" s="3">
        <f t="shared" si="10"/>
        <v>0.50669174842969467</v>
      </c>
      <c r="AG16" s="3">
        <f t="shared" si="10"/>
        <v>0.49193373633950943</v>
      </c>
      <c r="AH16" s="3">
        <f t="shared" si="10"/>
        <v>0.47760556926165965</v>
      </c>
      <c r="AI16" s="3">
        <f t="shared" si="10"/>
        <v>0.46369472743850448</v>
      </c>
      <c r="AJ16" s="3">
        <f t="shared" si="10"/>
        <v>0.45018905576553836</v>
      </c>
      <c r="AK16" s="3">
        <f t="shared" si="10"/>
        <v>0.4370767531704256</v>
      </c>
      <c r="AL16" s="3">
        <f t="shared" si="10"/>
        <v>0.42434636230138412</v>
      </c>
      <c r="AM16" s="3">
        <f t="shared" si="10"/>
        <v>0.41198675951590691</v>
      </c>
      <c r="AN16" s="3">
        <f t="shared" si="10"/>
        <v>0.39998714516107459</v>
      </c>
      <c r="AO16" s="3">
        <f t="shared" si="10"/>
        <v>0.38833703413696569</v>
      </c>
      <c r="AP16" s="3">
        <f t="shared" si="10"/>
        <v>0.37702624673491814</v>
      </c>
      <c r="AQ16" s="3">
        <f t="shared" si="10"/>
        <v>0.36604489974263904</v>
      </c>
      <c r="AR16" s="3">
        <f t="shared" si="10"/>
        <v>0.35538339780838735</v>
      </c>
    </row>
    <row r="17" spans="1:44">
      <c r="B17" s="1" t="s">
        <v>68</v>
      </c>
      <c r="C17" s="22" t="s">
        <v>49</v>
      </c>
      <c r="D17" s="73">
        <f>Inputs!E26</f>
        <v>7.0000000000000007E-2</v>
      </c>
      <c r="E17" s="73"/>
      <c r="F17" s="3">
        <f t="shared" ref="F17:G17" si="11">MIN(1,IF(F10=0,1,1/(1+$D17)^(F$10-1)))</f>
        <v>1</v>
      </c>
      <c r="G17" s="3">
        <f t="shared" si="11"/>
        <v>1</v>
      </c>
      <c r="H17" s="3">
        <f>MIN(1,IF(H10=0,1,1/(1+$D17)^(H$10-1)))</f>
        <v>1</v>
      </c>
      <c r="I17" s="3">
        <f t="shared" ref="I17:AR17" si="12">MIN(1,IF(I10=0,1,1/(1+$D17)^(I$10-1)))</f>
        <v>1</v>
      </c>
      <c r="J17" s="3">
        <f t="shared" si="12"/>
        <v>0.93457943925233644</v>
      </c>
      <c r="K17" s="3">
        <f t="shared" si="12"/>
        <v>0.87343872827321156</v>
      </c>
      <c r="L17" s="3">
        <f t="shared" si="12"/>
        <v>0.81629787689085187</v>
      </c>
      <c r="M17" s="3">
        <f t="shared" si="12"/>
        <v>0.7628952120475252</v>
      </c>
      <c r="N17" s="3">
        <f t="shared" si="12"/>
        <v>0.71298617948366838</v>
      </c>
      <c r="O17" s="3">
        <f t="shared" si="12"/>
        <v>0.66634222381651254</v>
      </c>
      <c r="P17" s="3">
        <f t="shared" si="12"/>
        <v>0.62274974188459109</v>
      </c>
      <c r="Q17" s="3">
        <f t="shared" si="12"/>
        <v>0.5820091045650384</v>
      </c>
      <c r="R17" s="3">
        <f t="shared" si="12"/>
        <v>0.54393374258414806</v>
      </c>
      <c r="S17" s="3">
        <f t="shared" si="12"/>
        <v>0.5083492921347178</v>
      </c>
      <c r="T17" s="3">
        <f t="shared" si="12"/>
        <v>0.47509279638758667</v>
      </c>
      <c r="U17" s="3">
        <f t="shared" si="12"/>
        <v>0.44401195924073528</v>
      </c>
      <c r="V17" s="3">
        <f t="shared" si="12"/>
        <v>0.41496444788853759</v>
      </c>
      <c r="W17" s="3">
        <f t="shared" si="12"/>
        <v>0.3878172410173249</v>
      </c>
      <c r="X17" s="3">
        <f t="shared" si="12"/>
        <v>0.36244601964235967</v>
      </c>
      <c r="Y17" s="3">
        <f t="shared" si="12"/>
        <v>0.33873459779659787</v>
      </c>
      <c r="Z17" s="3">
        <f t="shared" si="12"/>
        <v>0.31657439046411018</v>
      </c>
      <c r="AA17" s="3">
        <f t="shared" si="12"/>
        <v>0.29586391632159825</v>
      </c>
      <c r="AB17" s="3">
        <f t="shared" si="12"/>
        <v>0.27650833301083949</v>
      </c>
      <c r="AC17" s="3">
        <f t="shared" si="12"/>
        <v>0.2584190028138687</v>
      </c>
      <c r="AD17" s="3">
        <f t="shared" si="12"/>
        <v>0.24151308674193336</v>
      </c>
      <c r="AE17" s="3">
        <f t="shared" si="12"/>
        <v>0.22571316517937698</v>
      </c>
      <c r="AF17" s="3">
        <f t="shared" si="12"/>
        <v>0.21094688334521211</v>
      </c>
      <c r="AG17" s="3">
        <f t="shared" si="12"/>
        <v>0.19714661994879637</v>
      </c>
      <c r="AH17" s="3">
        <f t="shared" si="12"/>
        <v>0.18424917752223957</v>
      </c>
      <c r="AI17" s="3">
        <f t="shared" si="12"/>
        <v>0.17219549301143888</v>
      </c>
      <c r="AJ17" s="3">
        <f t="shared" si="12"/>
        <v>0.16093036730041013</v>
      </c>
      <c r="AK17" s="3">
        <f t="shared" si="12"/>
        <v>0.15040221243028987</v>
      </c>
      <c r="AL17" s="3">
        <f t="shared" si="12"/>
        <v>0.1405628153554111</v>
      </c>
      <c r="AM17" s="3">
        <f t="shared" si="12"/>
        <v>0.13136711715458982</v>
      </c>
      <c r="AN17" s="3">
        <f t="shared" si="12"/>
        <v>0.1227730066865325</v>
      </c>
      <c r="AO17" s="3">
        <f t="shared" si="12"/>
        <v>0.11474112774442291</v>
      </c>
      <c r="AP17" s="3">
        <f t="shared" si="12"/>
        <v>0.10723469882656347</v>
      </c>
      <c r="AQ17" s="3">
        <f t="shared" si="12"/>
        <v>0.10021934469772288</v>
      </c>
      <c r="AR17" s="3">
        <f t="shared" si="12"/>
        <v>9.366293896983445E-2</v>
      </c>
    </row>
    <row r="19" spans="1:44">
      <c r="B19" s="1" t="s">
        <v>212</v>
      </c>
      <c r="C19" s="1" t="s">
        <v>43</v>
      </c>
      <c r="D19" s="1" t="s">
        <v>44</v>
      </c>
    </row>
    <row r="20" spans="1:44" s="9" customFormat="1">
      <c r="A20" s="8" t="s">
        <v>213</v>
      </c>
    </row>
    <row r="21" spans="1:44" ht="15">
      <c r="A21" s="2" t="s">
        <v>230</v>
      </c>
      <c r="C21" s="21"/>
    </row>
    <row r="22" spans="1:44">
      <c r="C22" s="292"/>
      <c r="D22" s="86"/>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row>
    <row r="23" spans="1:44" ht="15">
      <c r="B23" s="2" t="s">
        <v>256</v>
      </c>
      <c r="C23" s="292"/>
      <c r="D23" s="86"/>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row>
    <row r="24" spans="1:44">
      <c r="B24" s="1" t="s">
        <v>146</v>
      </c>
      <c r="C24" s="292" t="s">
        <v>147</v>
      </c>
      <c r="D24" s="105">
        <f>Inputs!$E$84</f>
        <v>91</v>
      </c>
      <c r="F24" s="109">
        <f t="shared" ref="F24:AR24" si="13">IF(F7=$D$25,$D$24,0)</f>
        <v>0</v>
      </c>
      <c r="G24" s="109">
        <f t="shared" si="13"/>
        <v>0</v>
      </c>
      <c r="H24" s="109">
        <f t="shared" si="13"/>
        <v>0</v>
      </c>
      <c r="I24" s="109">
        <f t="shared" si="13"/>
        <v>0</v>
      </c>
      <c r="J24" s="109">
        <f t="shared" si="13"/>
        <v>0</v>
      </c>
      <c r="K24" s="109">
        <f t="shared" si="13"/>
        <v>91</v>
      </c>
      <c r="L24" s="109">
        <f t="shared" si="13"/>
        <v>0</v>
      </c>
      <c r="M24" s="109">
        <f t="shared" si="13"/>
        <v>0</v>
      </c>
      <c r="N24" s="109">
        <f t="shared" si="13"/>
        <v>0</v>
      </c>
      <c r="O24" s="109">
        <f t="shared" si="13"/>
        <v>0</v>
      </c>
      <c r="P24" s="109">
        <f t="shared" si="13"/>
        <v>0</v>
      </c>
      <c r="Q24" s="109">
        <f t="shared" si="13"/>
        <v>0</v>
      </c>
      <c r="R24" s="109">
        <f t="shared" si="13"/>
        <v>0</v>
      </c>
      <c r="S24" s="109">
        <f t="shared" si="13"/>
        <v>0</v>
      </c>
      <c r="T24" s="109">
        <f t="shared" si="13"/>
        <v>0</v>
      </c>
      <c r="U24" s="109">
        <f t="shared" si="13"/>
        <v>0</v>
      </c>
      <c r="V24" s="109">
        <f t="shared" si="13"/>
        <v>0</v>
      </c>
      <c r="W24" s="109">
        <f t="shared" si="13"/>
        <v>0</v>
      </c>
      <c r="X24" s="109">
        <f t="shared" si="13"/>
        <v>0</v>
      </c>
      <c r="Y24" s="109">
        <f t="shared" si="13"/>
        <v>0</v>
      </c>
      <c r="Z24" s="109">
        <f t="shared" si="13"/>
        <v>0</v>
      </c>
      <c r="AA24" s="109">
        <f t="shared" si="13"/>
        <v>0</v>
      </c>
      <c r="AB24" s="109">
        <f t="shared" si="13"/>
        <v>0</v>
      </c>
      <c r="AC24" s="109">
        <f t="shared" si="13"/>
        <v>0</v>
      </c>
      <c r="AD24" s="109">
        <f t="shared" si="13"/>
        <v>0</v>
      </c>
      <c r="AE24" s="109">
        <f t="shared" si="13"/>
        <v>0</v>
      </c>
      <c r="AF24" s="109">
        <f t="shared" si="13"/>
        <v>0</v>
      </c>
      <c r="AG24" s="109">
        <f t="shared" si="13"/>
        <v>0</v>
      </c>
      <c r="AH24" s="109">
        <f t="shared" si="13"/>
        <v>0</v>
      </c>
      <c r="AI24" s="109">
        <f t="shared" si="13"/>
        <v>0</v>
      </c>
      <c r="AJ24" s="109">
        <f t="shared" si="13"/>
        <v>0</v>
      </c>
      <c r="AK24" s="109">
        <f t="shared" si="13"/>
        <v>0</v>
      </c>
      <c r="AL24" s="109">
        <f t="shared" si="13"/>
        <v>0</v>
      </c>
      <c r="AM24" s="109">
        <f t="shared" si="13"/>
        <v>0</v>
      </c>
      <c r="AN24" s="109">
        <f t="shared" si="13"/>
        <v>0</v>
      </c>
      <c r="AO24" s="109">
        <f t="shared" si="13"/>
        <v>0</v>
      </c>
      <c r="AP24" s="109">
        <f t="shared" si="13"/>
        <v>0</v>
      </c>
      <c r="AQ24" s="109">
        <f t="shared" si="13"/>
        <v>0</v>
      </c>
      <c r="AR24" s="109">
        <f t="shared" si="13"/>
        <v>0</v>
      </c>
    </row>
    <row r="25" spans="1:44">
      <c r="B25" s="1" t="s">
        <v>111</v>
      </c>
      <c r="C25" s="292" t="s">
        <v>112</v>
      </c>
      <c r="D25" s="23">
        <f>Inputs!$E$85</f>
        <v>2023</v>
      </c>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row>
    <row r="26" spans="1:44">
      <c r="B26" s="1" t="s">
        <v>149</v>
      </c>
      <c r="C26" s="292" t="s">
        <v>147</v>
      </c>
      <c r="D26" s="105">
        <f>Inputs!$E$86</f>
        <v>428</v>
      </c>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row>
    <row r="27" spans="1:44">
      <c r="B27" s="1" t="s">
        <v>151</v>
      </c>
      <c r="C27" s="292" t="s">
        <v>112</v>
      </c>
      <c r="D27" s="23">
        <f>Inputs!$E$88</f>
        <v>2046</v>
      </c>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row>
    <row r="28" spans="1:44">
      <c r="B28" s="1" t="s">
        <v>257</v>
      </c>
      <c r="C28" s="292" t="s">
        <v>147</v>
      </c>
      <c r="D28" s="18">
        <f>(D26-D24)/(D27-D25)</f>
        <v>14.652173913043478</v>
      </c>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row>
    <row r="29" spans="1:44">
      <c r="B29" s="1" t="s">
        <v>258</v>
      </c>
      <c r="C29" s="292" t="s">
        <v>259</v>
      </c>
      <c r="D29" s="20"/>
      <c r="F29" s="19">
        <f t="shared" ref="F29:AR29" si="14">IF(F7&gt;$D$25,1,0)</f>
        <v>0</v>
      </c>
      <c r="G29" s="19">
        <f t="shared" si="14"/>
        <v>0</v>
      </c>
      <c r="H29" s="19">
        <f t="shared" si="14"/>
        <v>0</v>
      </c>
      <c r="I29" s="19">
        <f t="shared" si="14"/>
        <v>0</v>
      </c>
      <c r="J29" s="19">
        <f t="shared" si="14"/>
        <v>0</v>
      </c>
      <c r="K29" s="19">
        <f t="shared" si="14"/>
        <v>0</v>
      </c>
      <c r="L29" s="19">
        <f t="shared" si="14"/>
        <v>1</v>
      </c>
      <c r="M29" s="19">
        <f t="shared" si="14"/>
        <v>1</v>
      </c>
      <c r="N29" s="19">
        <f t="shared" si="14"/>
        <v>1</v>
      </c>
      <c r="O29" s="19">
        <f t="shared" si="14"/>
        <v>1</v>
      </c>
      <c r="P29" s="19">
        <f t="shared" si="14"/>
        <v>1</v>
      </c>
      <c r="Q29" s="19">
        <f t="shared" si="14"/>
        <v>1</v>
      </c>
      <c r="R29" s="19">
        <f t="shared" si="14"/>
        <v>1</v>
      </c>
      <c r="S29" s="19">
        <f t="shared" si="14"/>
        <v>1</v>
      </c>
      <c r="T29" s="19">
        <f t="shared" si="14"/>
        <v>1</v>
      </c>
      <c r="U29" s="19">
        <f t="shared" si="14"/>
        <v>1</v>
      </c>
      <c r="V29" s="19">
        <f t="shared" si="14"/>
        <v>1</v>
      </c>
      <c r="W29" s="19">
        <f t="shared" si="14"/>
        <v>1</v>
      </c>
      <c r="X29" s="19">
        <f t="shared" si="14"/>
        <v>1</v>
      </c>
      <c r="Y29" s="19">
        <f t="shared" si="14"/>
        <v>1</v>
      </c>
      <c r="Z29" s="19">
        <f t="shared" si="14"/>
        <v>1</v>
      </c>
      <c r="AA29" s="19">
        <f t="shared" si="14"/>
        <v>1</v>
      </c>
      <c r="AB29" s="19">
        <f t="shared" si="14"/>
        <v>1</v>
      </c>
      <c r="AC29" s="19">
        <f t="shared" si="14"/>
        <v>1</v>
      </c>
      <c r="AD29" s="19">
        <f t="shared" si="14"/>
        <v>1</v>
      </c>
      <c r="AE29" s="19">
        <f t="shared" si="14"/>
        <v>1</v>
      </c>
      <c r="AF29" s="19">
        <f t="shared" si="14"/>
        <v>1</v>
      </c>
      <c r="AG29" s="19">
        <f t="shared" si="14"/>
        <v>1</v>
      </c>
      <c r="AH29" s="19">
        <f t="shared" si="14"/>
        <v>1</v>
      </c>
      <c r="AI29" s="19">
        <f t="shared" si="14"/>
        <v>1</v>
      </c>
      <c r="AJ29" s="19">
        <f t="shared" si="14"/>
        <v>1</v>
      </c>
      <c r="AK29" s="19">
        <f t="shared" si="14"/>
        <v>1</v>
      </c>
      <c r="AL29" s="19">
        <f t="shared" si="14"/>
        <v>1</v>
      </c>
      <c r="AM29" s="19">
        <f t="shared" si="14"/>
        <v>1</v>
      </c>
      <c r="AN29" s="19">
        <f t="shared" si="14"/>
        <v>1</v>
      </c>
      <c r="AO29" s="19">
        <f t="shared" si="14"/>
        <v>1</v>
      </c>
      <c r="AP29" s="19">
        <f t="shared" si="14"/>
        <v>1</v>
      </c>
      <c r="AQ29" s="19">
        <f t="shared" si="14"/>
        <v>1</v>
      </c>
      <c r="AR29" s="19">
        <f t="shared" si="14"/>
        <v>1</v>
      </c>
    </row>
    <row r="30" spans="1:44" ht="15">
      <c r="A30" s="2"/>
      <c r="B30" s="1" t="s">
        <v>260</v>
      </c>
      <c r="C30" s="292" t="s">
        <v>147</v>
      </c>
      <c r="D30" s="105">
        <f>SUM(F30:AR30)</f>
        <v>11313.869565217396</v>
      </c>
      <c r="F30" s="105">
        <f t="shared" ref="F30:AR30" si="15">E30+F24+F29*$D$28</f>
        <v>0</v>
      </c>
      <c r="G30" s="105">
        <f t="shared" si="15"/>
        <v>0</v>
      </c>
      <c r="H30" s="105">
        <f t="shared" si="15"/>
        <v>0</v>
      </c>
      <c r="I30" s="105">
        <f t="shared" si="15"/>
        <v>0</v>
      </c>
      <c r="J30" s="105">
        <f t="shared" si="15"/>
        <v>0</v>
      </c>
      <c r="K30" s="105">
        <f t="shared" si="15"/>
        <v>91</v>
      </c>
      <c r="L30" s="105">
        <f t="shared" si="15"/>
        <v>105.65217391304348</v>
      </c>
      <c r="M30" s="105">
        <f t="shared" si="15"/>
        <v>120.30434782608697</v>
      </c>
      <c r="N30" s="105">
        <f t="shared" si="15"/>
        <v>134.95652173913044</v>
      </c>
      <c r="O30" s="105">
        <f t="shared" si="15"/>
        <v>149.60869565217391</v>
      </c>
      <c r="P30" s="105">
        <f t="shared" si="15"/>
        <v>164.26086956521738</v>
      </c>
      <c r="Q30" s="105">
        <f t="shared" si="15"/>
        <v>178.91304347826085</v>
      </c>
      <c r="R30" s="105">
        <f t="shared" si="15"/>
        <v>193.56521739130432</v>
      </c>
      <c r="S30" s="105">
        <f t="shared" si="15"/>
        <v>208.21739130434779</v>
      </c>
      <c r="T30" s="105">
        <f t="shared" si="15"/>
        <v>222.86956521739125</v>
      </c>
      <c r="U30" s="105">
        <f t="shared" si="15"/>
        <v>237.52173913043472</v>
      </c>
      <c r="V30" s="105">
        <f t="shared" si="15"/>
        <v>252.17391304347819</v>
      </c>
      <c r="W30" s="105">
        <f t="shared" si="15"/>
        <v>266.82608695652169</v>
      </c>
      <c r="X30" s="105">
        <f t="shared" si="15"/>
        <v>281.47826086956519</v>
      </c>
      <c r="Y30" s="105">
        <f t="shared" si="15"/>
        <v>296.13043478260869</v>
      </c>
      <c r="Z30" s="105">
        <f t="shared" si="15"/>
        <v>310.78260869565219</v>
      </c>
      <c r="AA30" s="105">
        <f t="shared" si="15"/>
        <v>325.43478260869568</v>
      </c>
      <c r="AB30" s="105">
        <f t="shared" si="15"/>
        <v>340.08695652173918</v>
      </c>
      <c r="AC30" s="105">
        <f t="shared" si="15"/>
        <v>354.73913043478268</v>
      </c>
      <c r="AD30" s="105">
        <f t="shared" si="15"/>
        <v>369.39130434782618</v>
      </c>
      <c r="AE30" s="105">
        <f t="shared" si="15"/>
        <v>384.04347826086968</v>
      </c>
      <c r="AF30" s="105">
        <f t="shared" si="15"/>
        <v>398.69565217391317</v>
      </c>
      <c r="AG30" s="105">
        <f t="shared" si="15"/>
        <v>413.34782608695667</v>
      </c>
      <c r="AH30" s="105">
        <f t="shared" si="15"/>
        <v>428.00000000000017</v>
      </c>
      <c r="AI30" s="105">
        <f t="shared" si="15"/>
        <v>442.65217391304367</v>
      </c>
      <c r="AJ30" s="105">
        <f t="shared" si="15"/>
        <v>457.30434782608717</v>
      </c>
      <c r="AK30" s="105">
        <f t="shared" si="15"/>
        <v>471.95652173913066</v>
      </c>
      <c r="AL30" s="105">
        <f t="shared" si="15"/>
        <v>486.60869565217416</v>
      </c>
      <c r="AM30" s="105">
        <f t="shared" si="15"/>
        <v>501.26086956521766</v>
      </c>
      <c r="AN30" s="105">
        <f t="shared" si="15"/>
        <v>515.9130434782611</v>
      </c>
      <c r="AO30" s="105">
        <f t="shared" si="15"/>
        <v>530.5652173913046</v>
      </c>
      <c r="AP30" s="105">
        <f t="shared" si="15"/>
        <v>545.2173913043481</v>
      </c>
      <c r="AQ30" s="105">
        <f t="shared" si="15"/>
        <v>559.8695652173916</v>
      </c>
      <c r="AR30" s="105">
        <f t="shared" si="15"/>
        <v>574.52173913043509</v>
      </c>
    </row>
    <row r="31" spans="1:44">
      <c r="C31" s="292"/>
      <c r="D31" s="105"/>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row>
    <row r="32" spans="1:44" ht="15">
      <c r="B32" s="2" t="s">
        <v>261</v>
      </c>
      <c r="C32" s="292"/>
      <c r="D32" s="5"/>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row>
    <row r="33" spans="1:44" ht="15">
      <c r="A33" s="2"/>
      <c r="B33" s="2" t="s">
        <v>235</v>
      </c>
      <c r="C33" s="292"/>
      <c r="D33" s="5"/>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row>
    <row r="34" spans="1:44">
      <c r="B34" s="1" t="s">
        <v>262</v>
      </c>
      <c r="C34" s="292" t="s">
        <v>127</v>
      </c>
      <c r="D34" s="110">
        <f>Inputs!$E$71</f>
        <v>18.8</v>
      </c>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row>
    <row r="35" spans="1:44" ht="15">
      <c r="A35" s="2"/>
      <c r="B35" s="1" t="s">
        <v>263</v>
      </c>
      <c r="C35" s="22" t="s">
        <v>138</v>
      </c>
      <c r="D35" s="18">
        <f>Inputs!$E$81</f>
        <v>1.67</v>
      </c>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row>
    <row r="36" spans="1:44" ht="15">
      <c r="A36" s="2"/>
      <c r="B36" s="1" t="s">
        <v>264</v>
      </c>
      <c r="C36" s="22" t="s">
        <v>66</v>
      </c>
      <c r="D36" s="309">
        <f>1-Inputs!$E$47</f>
        <v>0.97</v>
      </c>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row>
    <row r="37" spans="1:44" ht="15">
      <c r="A37" s="2"/>
      <c r="B37" s="1" t="s">
        <v>265</v>
      </c>
      <c r="C37" s="22" t="s">
        <v>80</v>
      </c>
      <c r="D37" s="19">
        <f>SUM(F37:AR37)</f>
        <v>344553.94140347838</v>
      </c>
      <c r="F37" s="19">
        <f>F$30*$D$34*$D$35*$D$36</f>
        <v>0</v>
      </c>
      <c r="G37" s="19">
        <f t="shared" ref="G37:AR37" si="16">G$30*$D$34*$D$35*$D$36</f>
        <v>0</v>
      </c>
      <c r="H37" s="19">
        <f t="shared" si="16"/>
        <v>0</v>
      </c>
      <c r="I37" s="19">
        <f t="shared" si="16"/>
        <v>0</v>
      </c>
      <c r="J37" s="19">
        <f t="shared" si="16"/>
        <v>0</v>
      </c>
      <c r="K37" s="19">
        <f t="shared" si="16"/>
        <v>2771.3249199999996</v>
      </c>
      <c r="L37" s="19">
        <f t="shared" si="16"/>
        <v>3217.5439826086958</v>
      </c>
      <c r="M37" s="19">
        <f t="shared" si="16"/>
        <v>3663.7630452173917</v>
      </c>
      <c r="N37" s="19">
        <f t="shared" si="16"/>
        <v>4109.9821078260866</v>
      </c>
      <c r="O37" s="19">
        <f t="shared" si="16"/>
        <v>4556.2011704347815</v>
      </c>
      <c r="P37" s="19">
        <f t="shared" si="16"/>
        <v>5002.4202330434782</v>
      </c>
      <c r="Q37" s="19">
        <f t="shared" si="16"/>
        <v>5448.6392956521731</v>
      </c>
      <c r="R37" s="19">
        <f t="shared" si="16"/>
        <v>5894.858358260868</v>
      </c>
      <c r="S37" s="19">
        <f t="shared" si="16"/>
        <v>6341.0774208695639</v>
      </c>
      <c r="T37" s="19">
        <f t="shared" si="16"/>
        <v>6787.2964834782588</v>
      </c>
      <c r="U37" s="19">
        <f t="shared" si="16"/>
        <v>7233.5155460869546</v>
      </c>
      <c r="V37" s="19">
        <f t="shared" si="16"/>
        <v>7679.7346086956504</v>
      </c>
      <c r="W37" s="19">
        <f t="shared" si="16"/>
        <v>8125.9536713043462</v>
      </c>
      <c r="X37" s="19">
        <f t="shared" si="16"/>
        <v>8572.1727339130412</v>
      </c>
      <c r="Y37" s="19">
        <f t="shared" si="16"/>
        <v>9018.3917965217388</v>
      </c>
      <c r="Z37" s="19">
        <f t="shared" si="16"/>
        <v>9464.6108591304346</v>
      </c>
      <c r="AA37" s="19">
        <f t="shared" si="16"/>
        <v>9910.8299217391304</v>
      </c>
      <c r="AB37" s="19">
        <f t="shared" si="16"/>
        <v>10357.048984347828</v>
      </c>
      <c r="AC37" s="19">
        <f t="shared" si="16"/>
        <v>10803.268046956522</v>
      </c>
      <c r="AD37" s="19">
        <f t="shared" si="16"/>
        <v>11249.48710956522</v>
      </c>
      <c r="AE37" s="19">
        <f t="shared" si="16"/>
        <v>11695.706172173916</v>
      </c>
      <c r="AF37" s="19">
        <f t="shared" si="16"/>
        <v>12141.925234782611</v>
      </c>
      <c r="AG37" s="19">
        <f t="shared" si="16"/>
        <v>12588.144297391307</v>
      </c>
      <c r="AH37" s="19">
        <f t="shared" si="16"/>
        <v>13034.363360000005</v>
      </c>
      <c r="AI37" s="19">
        <f t="shared" si="16"/>
        <v>13480.582422608701</v>
      </c>
      <c r="AJ37" s="19">
        <f t="shared" si="16"/>
        <v>13926.801485217396</v>
      </c>
      <c r="AK37" s="19">
        <f t="shared" si="16"/>
        <v>14373.020547826096</v>
      </c>
      <c r="AL37" s="19">
        <f t="shared" si="16"/>
        <v>14819.239610434788</v>
      </c>
      <c r="AM37" s="19">
        <f t="shared" si="16"/>
        <v>15265.458673043488</v>
      </c>
      <c r="AN37" s="19">
        <f t="shared" si="16"/>
        <v>15711.677735652182</v>
      </c>
      <c r="AO37" s="19">
        <f t="shared" si="16"/>
        <v>16157.896798260877</v>
      </c>
      <c r="AP37" s="19">
        <f t="shared" si="16"/>
        <v>16604.115860869573</v>
      </c>
      <c r="AQ37" s="19">
        <f t="shared" si="16"/>
        <v>17050.334923478269</v>
      </c>
      <c r="AR37" s="19">
        <f t="shared" si="16"/>
        <v>17496.553986086969</v>
      </c>
    </row>
    <row r="38" spans="1:44" ht="15">
      <c r="A38" s="2"/>
      <c r="C38" s="22"/>
      <c r="D38" s="30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row>
    <row r="39" spans="1:44" ht="15">
      <c r="A39" s="2"/>
      <c r="B39" s="2" t="s">
        <v>236</v>
      </c>
      <c r="C39" s="292"/>
      <c r="D39" s="5"/>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row>
    <row r="40" spans="1:44" ht="15">
      <c r="A40" s="2"/>
      <c r="B40" s="1" t="s">
        <v>262</v>
      </c>
      <c r="C40" s="292" t="s">
        <v>127</v>
      </c>
      <c r="D40" s="110">
        <f>Inputs!$E$73</f>
        <v>32.4</v>
      </c>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row>
    <row r="41" spans="1:44" ht="15">
      <c r="A41" s="2"/>
      <c r="B41" s="1" t="s">
        <v>263</v>
      </c>
      <c r="C41" s="22" t="s">
        <v>138</v>
      </c>
      <c r="D41" s="18">
        <f>Inputs!$E$82</f>
        <v>1</v>
      </c>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row>
    <row r="42" spans="1:44" ht="15">
      <c r="A42" s="2"/>
      <c r="B42" s="1" t="s">
        <v>97</v>
      </c>
      <c r="C42" s="22" t="s">
        <v>66</v>
      </c>
      <c r="D42" s="309">
        <f>Inputs!$E$47</f>
        <v>0.03</v>
      </c>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row>
    <row r="43" spans="1:44" ht="15">
      <c r="A43" s="2"/>
      <c r="B43" s="1" t="s">
        <v>265</v>
      </c>
      <c r="C43" s="22" t="s">
        <v>80</v>
      </c>
      <c r="D43" s="19">
        <f>SUM(F43:AR43)</f>
        <v>10997.081217391307</v>
      </c>
      <c r="F43" s="19">
        <f>F$30*$D$40*$D$41*$D$42</f>
        <v>0</v>
      </c>
      <c r="G43" s="19">
        <f t="shared" ref="G43:AR43" si="17">G$30*$D$40*$D$41*$D$42</f>
        <v>0</v>
      </c>
      <c r="H43" s="19">
        <f t="shared" si="17"/>
        <v>0</v>
      </c>
      <c r="I43" s="19">
        <f t="shared" si="17"/>
        <v>0</v>
      </c>
      <c r="J43" s="19">
        <f t="shared" si="17"/>
        <v>0</v>
      </c>
      <c r="K43" s="19">
        <f t="shared" si="17"/>
        <v>88.451999999999998</v>
      </c>
      <c r="L43" s="19">
        <f t="shared" si="17"/>
        <v>102.69391304347825</v>
      </c>
      <c r="M43" s="19">
        <f t="shared" si="17"/>
        <v>116.93582608695652</v>
      </c>
      <c r="N43" s="19">
        <f t="shared" si="17"/>
        <v>131.17773913043476</v>
      </c>
      <c r="O43" s="19">
        <f t="shared" si="17"/>
        <v>145.41965217391302</v>
      </c>
      <c r="P43" s="19">
        <f t="shared" si="17"/>
        <v>159.66156521739128</v>
      </c>
      <c r="Q43" s="19">
        <f t="shared" si="17"/>
        <v>173.90347826086952</v>
      </c>
      <c r="R43" s="19">
        <f t="shared" si="17"/>
        <v>188.14539130434778</v>
      </c>
      <c r="S43" s="19">
        <f t="shared" si="17"/>
        <v>202.38730434782602</v>
      </c>
      <c r="T43" s="19">
        <f t="shared" si="17"/>
        <v>216.62921739130428</v>
      </c>
      <c r="U43" s="19">
        <f t="shared" si="17"/>
        <v>230.87113043478254</v>
      </c>
      <c r="V43" s="19">
        <f t="shared" si="17"/>
        <v>245.11304347826078</v>
      </c>
      <c r="W43" s="19">
        <f t="shared" si="17"/>
        <v>259.35495652173904</v>
      </c>
      <c r="X43" s="19">
        <f t="shared" si="17"/>
        <v>273.59686956521733</v>
      </c>
      <c r="Y43" s="19">
        <f t="shared" si="17"/>
        <v>287.83878260869562</v>
      </c>
      <c r="Z43" s="19">
        <f t="shared" si="17"/>
        <v>302.08069565217386</v>
      </c>
      <c r="AA43" s="19">
        <f t="shared" si="17"/>
        <v>316.32260869565221</v>
      </c>
      <c r="AB43" s="19">
        <f t="shared" si="17"/>
        <v>330.56452173913044</v>
      </c>
      <c r="AC43" s="19">
        <f t="shared" si="17"/>
        <v>344.80643478260873</v>
      </c>
      <c r="AD43" s="19">
        <f t="shared" si="17"/>
        <v>359.04834782608702</v>
      </c>
      <c r="AE43" s="19">
        <f t="shared" si="17"/>
        <v>373.29026086956532</v>
      </c>
      <c r="AF43" s="19">
        <f t="shared" si="17"/>
        <v>387.53217391304355</v>
      </c>
      <c r="AG43" s="19">
        <f t="shared" si="17"/>
        <v>401.77408695652184</v>
      </c>
      <c r="AH43" s="19">
        <f t="shared" si="17"/>
        <v>416.01600000000013</v>
      </c>
      <c r="AI43" s="19">
        <f t="shared" si="17"/>
        <v>430.25791304347842</v>
      </c>
      <c r="AJ43" s="19">
        <f t="shared" si="17"/>
        <v>444.49982608695666</v>
      </c>
      <c r="AK43" s="19">
        <f t="shared" si="17"/>
        <v>458.74173913043501</v>
      </c>
      <c r="AL43" s="19">
        <f t="shared" si="17"/>
        <v>472.98365217391324</v>
      </c>
      <c r="AM43" s="19">
        <f t="shared" si="17"/>
        <v>487.22556521739153</v>
      </c>
      <c r="AN43" s="19">
        <f t="shared" si="17"/>
        <v>501.46747826086971</v>
      </c>
      <c r="AO43" s="19">
        <f t="shared" si="17"/>
        <v>515.70939130434806</v>
      </c>
      <c r="AP43" s="19">
        <f t="shared" si="17"/>
        <v>529.95130434782641</v>
      </c>
      <c r="AQ43" s="19">
        <f t="shared" si="17"/>
        <v>544.19321739130453</v>
      </c>
      <c r="AR43" s="19">
        <f t="shared" si="17"/>
        <v>558.43513043478288</v>
      </c>
    </row>
    <row r="44" spans="1:44" ht="15">
      <c r="A44" s="2"/>
      <c r="C44" s="22"/>
      <c r="D44" s="18"/>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row>
    <row r="45" spans="1:44" ht="15">
      <c r="B45" s="2" t="s">
        <v>265</v>
      </c>
      <c r="C45" s="292"/>
      <c r="D45" s="86"/>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row>
    <row r="46" spans="1:44" ht="15">
      <c r="A46" s="2"/>
      <c r="B46" s="1" t="s">
        <v>265</v>
      </c>
      <c r="C46" s="292" t="s">
        <v>266</v>
      </c>
      <c r="D46" s="86">
        <f>SUM(F46:AR46)</f>
        <v>355551.02262086968</v>
      </c>
      <c r="F46" s="19">
        <f>F37+F43</f>
        <v>0</v>
      </c>
      <c r="G46" s="19">
        <f t="shared" ref="G46:AR46" si="18">G37+G43</f>
        <v>0</v>
      </c>
      <c r="H46" s="19">
        <f t="shared" si="18"/>
        <v>0</v>
      </c>
      <c r="I46" s="19">
        <f t="shared" si="18"/>
        <v>0</v>
      </c>
      <c r="J46" s="19">
        <f t="shared" si="18"/>
        <v>0</v>
      </c>
      <c r="K46" s="19">
        <f t="shared" si="18"/>
        <v>2859.7769199999993</v>
      </c>
      <c r="L46" s="19">
        <f t="shared" si="18"/>
        <v>3320.2378956521743</v>
      </c>
      <c r="M46" s="19">
        <f t="shared" si="18"/>
        <v>3780.6988713043484</v>
      </c>
      <c r="N46" s="19">
        <f t="shared" si="18"/>
        <v>4241.1598469565215</v>
      </c>
      <c r="O46" s="19">
        <f t="shared" si="18"/>
        <v>4701.6208226086947</v>
      </c>
      <c r="P46" s="19">
        <f t="shared" si="18"/>
        <v>5162.0817982608696</v>
      </c>
      <c r="Q46" s="19">
        <f t="shared" si="18"/>
        <v>5622.5427739130428</v>
      </c>
      <c r="R46" s="19">
        <f t="shared" si="18"/>
        <v>6083.0037495652159</v>
      </c>
      <c r="S46" s="19">
        <f t="shared" si="18"/>
        <v>6543.46472521739</v>
      </c>
      <c r="T46" s="19">
        <f t="shared" si="18"/>
        <v>7003.9257008695631</v>
      </c>
      <c r="U46" s="19">
        <f t="shared" si="18"/>
        <v>7464.3866765217372</v>
      </c>
      <c r="V46" s="19">
        <f t="shared" si="18"/>
        <v>7924.8476521739112</v>
      </c>
      <c r="W46" s="19">
        <f t="shared" si="18"/>
        <v>8385.3086278260853</v>
      </c>
      <c r="X46" s="19">
        <f t="shared" si="18"/>
        <v>8845.7696034782584</v>
      </c>
      <c r="Y46" s="19">
        <f t="shared" si="18"/>
        <v>9306.2305791304352</v>
      </c>
      <c r="Z46" s="19">
        <f t="shared" si="18"/>
        <v>9766.6915547826084</v>
      </c>
      <c r="AA46" s="19">
        <f t="shared" si="18"/>
        <v>10227.152530434783</v>
      </c>
      <c r="AB46" s="19">
        <f t="shared" si="18"/>
        <v>10687.613506086958</v>
      </c>
      <c r="AC46" s="19">
        <f t="shared" si="18"/>
        <v>11148.074481739131</v>
      </c>
      <c r="AD46" s="19">
        <f t="shared" si="18"/>
        <v>11608.535457391306</v>
      </c>
      <c r="AE46" s="19">
        <f t="shared" si="18"/>
        <v>12068.996433043481</v>
      </c>
      <c r="AF46" s="19">
        <f t="shared" si="18"/>
        <v>12529.457408695655</v>
      </c>
      <c r="AG46" s="19">
        <f t="shared" si="18"/>
        <v>12989.918384347829</v>
      </c>
      <c r="AH46" s="19">
        <f t="shared" si="18"/>
        <v>13450.379360000004</v>
      </c>
      <c r="AI46" s="19">
        <f t="shared" si="18"/>
        <v>13910.840335652179</v>
      </c>
      <c r="AJ46" s="19">
        <f t="shared" si="18"/>
        <v>14371.301311304353</v>
      </c>
      <c r="AK46" s="19">
        <f t="shared" si="18"/>
        <v>14831.762286956531</v>
      </c>
      <c r="AL46" s="19">
        <f t="shared" si="18"/>
        <v>15292.223262608701</v>
      </c>
      <c r="AM46" s="19">
        <f t="shared" si="18"/>
        <v>15752.684238260879</v>
      </c>
      <c r="AN46" s="19">
        <f t="shared" si="18"/>
        <v>16213.145213913051</v>
      </c>
      <c r="AO46" s="19">
        <f t="shared" si="18"/>
        <v>16673.606189565224</v>
      </c>
      <c r="AP46" s="19">
        <f t="shared" si="18"/>
        <v>17134.067165217399</v>
      </c>
      <c r="AQ46" s="19">
        <f t="shared" si="18"/>
        <v>17594.528140869574</v>
      </c>
      <c r="AR46" s="19">
        <f t="shared" si="18"/>
        <v>18054.989116521752</v>
      </c>
    </row>
    <row r="47" spans="1:44" ht="15">
      <c r="A47" s="2"/>
      <c r="B47" s="1" t="s">
        <v>74</v>
      </c>
      <c r="C47" s="292" t="s">
        <v>75</v>
      </c>
      <c r="D47" s="86">
        <f>Inputs!$E$32</f>
        <v>365</v>
      </c>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row>
    <row r="48" spans="1:44">
      <c r="B48" s="1" t="s">
        <v>260</v>
      </c>
      <c r="C48" s="292" t="s">
        <v>267</v>
      </c>
      <c r="D48" s="86">
        <f>SUM(F48:AR48)</f>
        <v>129776123.25661743</v>
      </c>
      <c r="F48" s="19">
        <f>F46*$D$47</f>
        <v>0</v>
      </c>
      <c r="G48" s="19">
        <f t="shared" ref="G48:AR48" si="19">G46*$D$47</f>
        <v>0</v>
      </c>
      <c r="H48" s="19">
        <f t="shared" si="19"/>
        <v>0</v>
      </c>
      <c r="I48" s="19">
        <f t="shared" si="19"/>
        <v>0</v>
      </c>
      <c r="J48" s="19">
        <f t="shared" si="19"/>
        <v>0</v>
      </c>
      <c r="K48" s="19">
        <f t="shared" si="19"/>
        <v>1043818.5757999998</v>
      </c>
      <c r="L48" s="19">
        <f t="shared" si="19"/>
        <v>1211886.8319130435</v>
      </c>
      <c r="M48" s="19">
        <f t="shared" si="19"/>
        <v>1379955.0880260873</v>
      </c>
      <c r="N48" s="19">
        <f t="shared" si="19"/>
        <v>1548023.3441391303</v>
      </c>
      <c r="O48" s="19">
        <f t="shared" si="19"/>
        <v>1716091.6002521736</v>
      </c>
      <c r="P48" s="19">
        <f t="shared" si="19"/>
        <v>1884159.8563652174</v>
      </c>
      <c r="Q48" s="19">
        <f t="shared" si="19"/>
        <v>2052228.1124782606</v>
      </c>
      <c r="R48" s="19">
        <f t="shared" si="19"/>
        <v>2220296.3685913039</v>
      </c>
      <c r="S48" s="19">
        <f t="shared" si="19"/>
        <v>2388364.6247043475</v>
      </c>
      <c r="T48" s="19">
        <f t="shared" si="19"/>
        <v>2556432.8808173905</v>
      </c>
      <c r="U48" s="19">
        <f t="shared" si="19"/>
        <v>2724501.136930434</v>
      </c>
      <c r="V48" s="19">
        <f t="shared" si="19"/>
        <v>2892569.3930434776</v>
      </c>
      <c r="W48" s="19">
        <f t="shared" si="19"/>
        <v>3060637.6491565211</v>
      </c>
      <c r="X48" s="19">
        <f t="shared" si="19"/>
        <v>3228705.9052695641</v>
      </c>
      <c r="Y48" s="19">
        <f t="shared" si="19"/>
        <v>3396774.161382609</v>
      </c>
      <c r="Z48" s="19">
        <f t="shared" si="19"/>
        <v>3564842.4174956521</v>
      </c>
      <c r="AA48" s="19">
        <f t="shared" si="19"/>
        <v>3732910.6736086961</v>
      </c>
      <c r="AB48" s="19">
        <f t="shared" si="19"/>
        <v>3900978.9297217396</v>
      </c>
      <c r="AC48" s="19">
        <f t="shared" si="19"/>
        <v>4069047.1858347831</v>
      </c>
      <c r="AD48" s="19">
        <f t="shared" si="19"/>
        <v>4237115.4419478271</v>
      </c>
      <c r="AE48" s="19">
        <f t="shared" si="19"/>
        <v>4405183.6980608711</v>
      </c>
      <c r="AF48" s="19">
        <f t="shared" si="19"/>
        <v>4573251.9541739142</v>
      </c>
      <c r="AG48" s="19">
        <f t="shared" si="19"/>
        <v>4741320.2102869581</v>
      </c>
      <c r="AH48" s="19">
        <f t="shared" si="19"/>
        <v>4909388.4664000012</v>
      </c>
      <c r="AI48" s="19">
        <f t="shared" si="19"/>
        <v>5077456.7225130452</v>
      </c>
      <c r="AJ48" s="19">
        <f t="shared" si="19"/>
        <v>5245524.9786260882</v>
      </c>
      <c r="AK48" s="19">
        <f t="shared" si="19"/>
        <v>5413593.2347391341</v>
      </c>
      <c r="AL48" s="19">
        <f t="shared" si="19"/>
        <v>5581661.4908521762</v>
      </c>
      <c r="AM48" s="19">
        <f t="shared" si="19"/>
        <v>5749729.7469652211</v>
      </c>
      <c r="AN48" s="19">
        <f t="shared" si="19"/>
        <v>5917798.0030782633</v>
      </c>
      <c r="AO48" s="19">
        <f t="shared" si="19"/>
        <v>6085866.2591913063</v>
      </c>
      <c r="AP48" s="19">
        <f t="shared" si="19"/>
        <v>6253934.5153043503</v>
      </c>
      <c r="AQ48" s="19">
        <f t="shared" si="19"/>
        <v>6422002.7714173943</v>
      </c>
      <c r="AR48" s="19">
        <f t="shared" si="19"/>
        <v>6590071.0275304392</v>
      </c>
    </row>
    <row r="49" spans="1:44">
      <c r="C49" s="292"/>
      <c r="D49" s="86"/>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row>
    <row r="50" spans="1:44" ht="15">
      <c r="A50" s="2" t="s">
        <v>237</v>
      </c>
      <c r="C50" s="22"/>
      <c r="D50" s="18"/>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row>
    <row r="51" spans="1:44" ht="15">
      <c r="A51" s="2"/>
      <c r="B51" s="1" t="str">
        <f>Traffic!$B$37</f>
        <v>Pedestrian Forecast</v>
      </c>
      <c r="C51" s="22" t="s">
        <v>180</v>
      </c>
      <c r="D51" s="18"/>
      <c r="F51" s="19">
        <f>Traffic!F$37</f>
        <v>66.680335831680836</v>
      </c>
      <c r="G51" s="19">
        <f>Traffic!G$37</f>
        <v>67.040359895154836</v>
      </c>
      <c r="H51" s="19">
        <f>Traffic!H$37</f>
        <v>67.402327819958614</v>
      </c>
      <c r="I51" s="19">
        <f>Traffic!I$37</f>
        <v>67.766250101493057</v>
      </c>
      <c r="J51" s="19">
        <f>Traffic!J$37</f>
        <v>68.132137291826353</v>
      </c>
      <c r="K51" s="19">
        <f>Traffic!K$37</f>
        <v>68.500000000000014</v>
      </c>
      <c r="L51" s="19">
        <f>Traffic!L$37</f>
        <v>68.869848892336449</v>
      </c>
      <c r="M51" s="19">
        <f>Traffic!M$37</f>
        <v>69.241694692748254</v>
      </c>
      <c r="N51" s="19">
        <f>Traffic!N$37</f>
        <v>69.615548183049142</v>
      </c>
      <c r="O51" s="19">
        <f>Traffic!O$37</f>
        <v>69.991420203266586</v>
      </c>
      <c r="P51" s="19">
        <f>Traffic!P$37</f>
        <v>70.369321651956099</v>
      </c>
      <c r="Q51" s="19">
        <f>Traffic!Q$37</f>
        <v>70.749263486517293</v>
      </c>
      <c r="R51" s="19">
        <f>Traffic!R$37</f>
        <v>71.131256723511555</v>
      </c>
      <c r="S51" s="19">
        <f>Traffic!S$37</f>
        <v>71.515312438981468</v>
      </c>
      <c r="T51" s="19">
        <f>Traffic!T$37</f>
        <v>71.901441768772003</v>
      </c>
      <c r="U51" s="19">
        <f>Traffic!U$37</f>
        <v>72.289655908853362</v>
      </c>
      <c r="V51" s="19">
        <f>Traffic!V$37</f>
        <v>72.679966115645641</v>
      </c>
      <c r="W51" s="19">
        <f>Traffic!W$37</f>
        <v>73.072383706345221</v>
      </c>
      <c r="X51" s="19">
        <f>Traffic!X$37</f>
        <v>73.466920059252885</v>
      </c>
      <c r="Y51" s="19">
        <f>Traffic!Y$37</f>
        <v>73.863586614103752</v>
      </c>
      <c r="Z51" s="19">
        <f>Traffic!Z$37</f>
        <v>74.262394872398971</v>
      </c>
      <c r="AA51" s="19">
        <f>Traffic!AA$37</f>
        <v>74.663356397739236</v>
      </c>
      <c r="AB51" s="19">
        <f>Traffic!AB$37</f>
        <v>75.066482816160033</v>
      </c>
      <c r="AC51" s="19">
        <f>Traffic!AC$37</f>
        <v>75.471785816468767</v>
      </c>
      <c r="AD51" s="19">
        <f>Traffic!AD$37</f>
        <v>75.879277150583704</v>
      </c>
      <c r="AE51" s="19">
        <f>Traffic!AE$37</f>
        <v>76.288968633874688</v>
      </c>
      <c r="AF51" s="19">
        <f>Traffic!AF$37</f>
        <v>76.700872145505741</v>
      </c>
      <c r="AG51" s="19">
        <f>Traffic!AG$37</f>
        <v>77.114999628779515</v>
      </c>
      <c r="AH51" s="19">
        <f>Traffic!AH$37</f>
        <v>77.531363091483584</v>
      </c>
      <c r="AI51" s="19">
        <f>Traffic!AI$37</f>
        <v>77.949974606238612</v>
      </c>
      <c r="AJ51" s="19">
        <f>Traffic!AJ$37</f>
        <v>78.370846310848407</v>
      </c>
      <c r="AK51" s="19">
        <f>Traffic!AK$37</f>
        <v>78.793990408651851</v>
      </c>
      <c r="AL51" s="19">
        <f>Traffic!AL$37</f>
        <v>79.219419168876783</v>
      </c>
      <c r="AM51" s="19">
        <f>Traffic!AM$37</f>
        <v>79.647144926995679</v>
      </c>
      <c r="AN51" s="19">
        <f>Traffic!AN$37</f>
        <v>80.077180085083398</v>
      </c>
      <c r="AO51" s="19">
        <f>Traffic!AO$37</f>
        <v>80.50953711217673</v>
      </c>
      <c r="AP51" s="19">
        <f>Traffic!AP$37</f>
        <v>80.944228544635962</v>
      </c>
      <c r="AQ51" s="19">
        <f>Traffic!AQ$37</f>
        <v>81.381266986508379</v>
      </c>
      <c r="AR51" s="19">
        <f>Traffic!AR$37</f>
        <v>81.820665109893724</v>
      </c>
    </row>
    <row r="52" spans="1:44" ht="15">
      <c r="A52" s="2"/>
      <c r="B52" s="1" t="s">
        <v>268</v>
      </c>
      <c r="C52" s="22" t="s">
        <v>95</v>
      </c>
      <c r="D52" s="18">
        <f>Inputs!$E$65</f>
        <v>3.9</v>
      </c>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row>
    <row r="53" spans="1:44" ht="15">
      <c r="A53" s="2"/>
      <c r="B53" s="1" t="s">
        <v>269</v>
      </c>
      <c r="C53" s="22" t="s">
        <v>123</v>
      </c>
      <c r="D53" s="18">
        <f>Inputs!$E$67</f>
        <v>3.2</v>
      </c>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row>
    <row r="54" spans="1:44" ht="15">
      <c r="A54" s="2"/>
      <c r="B54" s="1" t="s">
        <v>270</v>
      </c>
      <c r="C54" s="22" t="s">
        <v>271</v>
      </c>
      <c r="D54" s="18">
        <f>D52/D53</f>
        <v>1.21875</v>
      </c>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row>
    <row r="55" spans="1:44" ht="15">
      <c r="A55" s="2"/>
      <c r="B55" s="1" t="s">
        <v>272</v>
      </c>
      <c r="C55" s="22" t="s">
        <v>273</v>
      </c>
      <c r="D55" s="18"/>
      <c r="F55" s="19">
        <f>F51*$D$54</f>
        <v>81.266659294861014</v>
      </c>
      <c r="G55" s="19">
        <f t="shared" ref="G55:AR55" si="20">G51*$D$54</f>
        <v>81.705438622219958</v>
      </c>
      <c r="H55" s="19">
        <f t="shared" si="20"/>
        <v>82.146587030574565</v>
      </c>
      <c r="I55" s="19">
        <f t="shared" si="20"/>
        <v>82.59011731119466</v>
      </c>
      <c r="J55" s="19">
        <f t="shared" si="20"/>
        <v>83.036042324413373</v>
      </c>
      <c r="K55" s="19">
        <f t="shared" si="20"/>
        <v>83.484375000000014</v>
      </c>
      <c r="L55" s="19">
        <f t="shared" si="20"/>
        <v>83.935128337535048</v>
      </c>
      <c r="M55" s="19">
        <f t="shared" si="20"/>
        <v>84.38831540678693</v>
      </c>
      <c r="N55" s="19">
        <f t="shared" si="20"/>
        <v>84.843949348091144</v>
      </c>
      <c r="O55" s="19">
        <f t="shared" si="20"/>
        <v>85.302043372731148</v>
      </c>
      <c r="P55" s="19">
        <f t="shared" si="20"/>
        <v>85.76261076332149</v>
      </c>
      <c r="Q55" s="19">
        <f t="shared" si="20"/>
        <v>86.225664874192944</v>
      </c>
      <c r="R55" s="19">
        <f t="shared" si="20"/>
        <v>86.691219131779704</v>
      </c>
      <c r="S55" s="19">
        <f t="shared" si="20"/>
        <v>87.15928703500866</v>
      </c>
      <c r="T55" s="19">
        <f t="shared" si="20"/>
        <v>87.629882155690879</v>
      </c>
      <c r="U55" s="19">
        <f t="shared" si="20"/>
        <v>88.103018138915033</v>
      </c>
      <c r="V55" s="19">
        <f t="shared" si="20"/>
        <v>88.578708703443127</v>
      </c>
      <c r="W55" s="19">
        <f t="shared" si="20"/>
        <v>89.056967642108233</v>
      </c>
      <c r="X55" s="19">
        <f t="shared" si="20"/>
        <v>89.537808822214458</v>
      </c>
      <c r="Y55" s="19">
        <f t="shared" si="20"/>
        <v>90.021246185938949</v>
      </c>
      <c r="Z55" s="19">
        <f t="shared" si="20"/>
        <v>90.507293750736252</v>
      </c>
      <c r="AA55" s="19">
        <f t="shared" si="20"/>
        <v>90.995965609744687</v>
      </c>
      <c r="AB55" s="19">
        <f t="shared" si="20"/>
        <v>91.487275932195047</v>
      </c>
      <c r="AC55" s="19">
        <f t="shared" si="20"/>
        <v>91.981238963821312</v>
      </c>
      <c r="AD55" s="19">
        <f t="shared" si="20"/>
        <v>92.477869027273883</v>
      </c>
      <c r="AE55" s="19">
        <f t="shared" si="20"/>
        <v>92.97718052253478</v>
      </c>
      <c r="AF55" s="19">
        <f t="shared" si="20"/>
        <v>93.479187927335119</v>
      </c>
      <c r="AG55" s="19">
        <f t="shared" si="20"/>
        <v>93.983905797575034</v>
      </c>
      <c r="AH55" s="19">
        <f t="shared" si="20"/>
        <v>94.49134876774562</v>
      </c>
      <c r="AI55" s="19">
        <f t="shared" si="20"/>
        <v>95.00153155135331</v>
      </c>
      <c r="AJ55" s="19">
        <f t="shared" si="20"/>
        <v>95.514468941346493</v>
      </c>
      <c r="AK55" s="19">
        <f t="shared" si="20"/>
        <v>96.030175810544449</v>
      </c>
      <c r="AL55" s="19">
        <f t="shared" si="20"/>
        <v>96.548667112068586</v>
      </c>
      <c r="AM55" s="19">
        <f t="shared" si="20"/>
        <v>97.069957879775984</v>
      </c>
      <c r="AN55" s="19">
        <f t="shared" si="20"/>
        <v>97.59406322869539</v>
      </c>
      <c r="AO55" s="19">
        <f t="shared" si="20"/>
        <v>98.120998355465389</v>
      </c>
      <c r="AP55" s="19">
        <f t="shared" si="20"/>
        <v>98.650778538775086</v>
      </c>
      <c r="AQ55" s="19">
        <f t="shared" si="20"/>
        <v>99.183419139807086</v>
      </c>
      <c r="AR55" s="19">
        <f t="shared" si="20"/>
        <v>99.718935602682976</v>
      </c>
    </row>
    <row r="56" spans="1:44" ht="15">
      <c r="A56" s="2"/>
      <c r="C56" s="22"/>
      <c r="D56" s="18"/>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row>
    <row r="57" spans="1:44" ht="15">
      <c r="A57" s="2"/>
      <c r="B57" s="2" t="s">
        <v>261</v>
      </c>
      <c r="C57" s="22"/>
      <c r="D57" s="18"/>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row>
    <row r="58" spans="1:44" ht="15">
      <c r="A58" s="2"/>
      <c r="B58" s="1" t="str">
        <f>Inputs!C72</f>
        <v>Walking, Cycling, Waiting, Standing, and Transfer Time</v>
      </c>
      <c r="C58" s="22" t="s">
        <v>127</v>
      </c>
      <c r="D58" s="111">
        <f>Inputs!E72</f>
        <v>34</v>
      </c>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row>
    <row r="59" spans="1:44">
      <c r="B59" s="1" t="s">
        <v>274</v>
      </c>
      <c r="C59" s="22" t="s">
        <v>275</v>
      </c>
      <c r="D59" s="86">
        <f>SUM(F59:AR59)</f>
        <v>119587.49728665694</v>
      </c>
      <c r="F59" s="19">
        <f>F55*$D$58</f>
        <v>2763.0664160252745</v>
      </c>
      <c r="G59" s="19">
        <f t="shared" ref="G59:AR59" si="21">G55*$D$58</f>
        <v>2777.9849131554784</v>
      </c>
      <c r="H59" s="19">
        <f t="shared" si="21"/>
        <v>2792.9839590395354</v>
      </c>
      <c r="I59" s="19">
        <f t="shared" si="21"/>
        <v>2808.0639885806186</v>
      </c>
      <c r="J59" s="19">
        <f t="shared" si="21"/>
        <v>2823.2254390300545</v>
      </c>
      <c r="K59" s="19">
        <f t="shared" si="21"/>
        <v>2838.4687500000005</v>
      </c>
      <c r="L59" s="19">
        <f t="shared" si="21"/>
        <v>2853.7943634761914</v>
      </c>
      <c r="M59" s="19">
        <f t="shared" si="21"/>
        <v>2869.2027238307555</v>
      </c>
      <c r="N59" s="19">
        <f t="shared" si="21"/>
        <v>2884.694277835099</v>
      </c>
      <c r="O59" s="19">
        <f t="shared" si="21"/>
        <v>2900.2694746728589</v>
      </c>
      <c r="P59" s="19">
        <f t="shared" si="21"/>
        <v>2915.9287659529305</v>
      </c>
      <c r="Q59" s="19">
        <f t="shared" si="21"/>
        <v>2931.6726057225601</v>
      </c>
      <c r="R59" s="19">
        <f t="shared" si="21"/>
        <v>2947.5014504805099</v>
      </c>
      <c r="S59" s="19">
        <f t="shared" si="21"/>
        <v>2963.4157591902945</v>
      </c>
      <c r="T59" s="19">
        <f t="shared" si="21"/>
        <v>2979.4159932934899</v>
      </c>
      <c r="U59" s="19">
        <f t="shared" si="21"/>
        <v>2995.5026167231113</v>
      </c>
      <c r="V59" s="19">
        <f t="shared" si="21"/>
        <v>3011.6760959170665</v>
      </c>
      <c r="W59" s="19">
        <f t="shared" si="21"/>
        <v>3027.93689983168</v>
      </c>
      <c r="X59" s="19">
        <f t="shared" si="21"/>
        <v>3044.2854999552915</v>
      </c>
      <c r="Y59" s="19">
        <f t="shared" si="21"/>
        <v>3060.7223703219242</v>
      </c>
      <c r="Z59" s="19">
        <f t="shared" si="21"/>
        <v>3077.2479875250324</v>
      </c>
      <c r="AA59" s="19">
        <f t="shared" si="21"/>
        <v>3093.8628307313193</v>
      </c>
      <c r="AB59" s="19">
        <f t="shared" si="21"/>
        <v>3110.5673816946314</v>
      </c>
      <c r="AC59" s="19">
        <f t="shared" si="21"/>
        <v>3127.3621247699248</v>
      </c>
      <c r="AD59" s="19">
        <f t="shared" si="21"/>
        <v>3144.2475469273122</v>
      </c>
      <c r="AE59" s="19">
        <f t="shared" si="21"/>
        <v>3161.2241377661826</v>
      </c>
      <c r="AF59" s="19">
        <f t="shared" si="21"/>
        <v>3178.2923895293939</v>
      </c>
      <c r="AG59" s="19">
        <f t="shared" si="21"/>
        <v>3195.4527971175512</v>
      </c>
      <c r="AH59" s="19">
        <f t="shared" si="21"/>
        <v>3212.7058581033511</v>
      </c>
      <c r="AI59" s="19">
        <f t="shared" si="21"/>
        <v>3230.0520727460125</v>
      </c>
      <c r="AJ59" s="19">
        <f t="shared" si="21"/>
        <v>3247.4919440057806</v>
      </c>
      <c r="AK59" s="19">
        <f t="shared" si="21"/>
        <v>3265.0259775585114</v>
      </c>
      <c r="AL59" s="19">
        <f t="shared" si="21"/>
        <v>3282.654681810332</v>
      </c>
      <c r="AM59" s="19">
        <f t="shared" si="21"/>
        <v>3300.3785679123835</v>
      </c>
      <c r="AN59" s="19">
        <f t="shared" si="21"/>
        <v>3318.1981497756433</v>
      </c>
      <c r="AO59" s="19">
        <f t="shared" si="21"/>
        <v>3336.1139440858233</v>
      </c>
      <c r="AP59" s="19">
        <f t="shared" si="21"/>
        <v>3354.1264703183529</v>
      </c>
      <c r="AQ59" s="19">
        <f t="shared" si="21"/>
        <v>3372.2362507534408</v>
      </c>
      <c r="AR59" s="19">
        <f t="shared" si="21"/>
        <v>3390.443810491221</v>
      </c>
    </row>
    <row r="60" spans="1:44">
      <c r="B60" s="1" t="s">
        <v>74</v>
      </c>
      <c r="C60" s="292" t="s">
        <v>75</v>
      </c>
      <c r="D60" s="86">
        <f>Inputs!$E$32</f>
        <v>365</v>
      </c>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row>
    <row r="61" spans="1:44">
      <c r="B61" s="1" t="s">
        <v>274</v>
      </c>
      <c r="C61" s="22" t="s">
        <v>267</v>
      </c>
      <c r="D61" s="86">
        <f>SUM(F61:AR61)</f>
        <v>43649436.509629771</v>
      </c>
      <c r="F61" s="19">
        <f>F59*$D$60</f>
        <v>1008519.2418492252</v>
      </c>
      <c r="G61" s="19">
        <f t="shared" ref="G61:AR61" si="22">G59*$D$60</f>
        <v>1013964.4933017496</v>
      </c>
      <c r="H61" s="19">
        <f t="shared" si="22"/>
        <v>1019439.1450494304</v>
      </c>
      <c r="I61" s="19">
        <f t="shared" si="22"/>
        <v>1024943.3558319258</v>
      </c>
      <c r="J61" s="19">
        <f t="shared" si="22"/>
        <v>1030477.2852459699</v>
      </c>
      <c r="K61" s="19">
        <f t="shared" si="22"/>
        <v>1036041.0937500001</v>
      </c>
      <c r="L61" s="19">
        <f t="shared" si="22"/>
        <v>1041634.9426688099</v>
      </c>
      <c r="M61" s="19">
        <f t="shared" si="22"/>
        <v>1047258.9941982258</v>
      </c>
      <c r="N61" s="19">
        <f t="shared" si="22"/>
        <v>1052913.4114098111</v>
      </c>
      <c r="O61" s="19">
        <f t="shared" si="22"/>
        <v>1058598.3582555936</v>
      </c>
      <c r="P61" s="19">
        <f t="shared" si="22"/>
        <v>1064313.9995728196</v>
      </c>
      <c r="Q61" s="19">
        <f t="shared" si="22"/>
        <v>1070060.5010887345</v>
      </c>
      <c r="R61" s="19">
        <f t="shared" si="22"/>
        <v>1075838.0294253861</v>
      </c>
      <c r="S61" s="19">
        <f t="shared" si="22"/>
        <v>1081646.7521044575</v>
      </c>
      <c r="T61" s="19">
        <f t="shared" si="22"/>
        <v>1087486.8375521239</v>
      </c>
      <c r="U61" s="19">
        <f t="shared" si="22"/>
        <v>1093358.4551039357</v>
      </c>
      <c r="V61" s="19">
        <f t="shared" si="22"/>
        <v>1099261.7750097292</v>
      </c>
      <c r="W61" s="19">
        <f t="shared" si="22"/>
        <v>1105196.9684385632</v>
      </c>
      <c r="X61" s="19">
        <f t="shared" si="22"/>
        <v>1111164.2074836814</v>
      </c>
      <c r="Y61" s="19">
        <f t="shared" si="22"/>
        <v>1117163.6651675024</v>
      </c>
      <c r="Z61" s="19">
        <f t="shared" si="22"/>
        <v>1123195.5154466368</v>
      </c>
      <c r="AA61" s="19">
        <f t="shared" si="22"/>
        <v>1129259.9332169315</v>
      </c>
      <c r="AB61" s="19">
        <f t="shared" si="22"/>
        <v>1135357.0943185405</v>
      </c>
      <c r="AC61" s="19">
        <f t="shared" si="22"/>
        <v>1141487.1755410226</v>
      </c>
      <c r="AD61" s="19">
        <f t="shared" si="22"/>
        <v>1147650.3546284689</v>
      </c>
      <c r="AE61" s="19">
        <f t="shared" si="22"/>
        <v>1153846.8102846567</v>
      </c>
      <c r="AF61" s="19">
        <f t="shared" si="22"/>
        <v>1160076.7221782287</v>
      </c>
      <c r="AG61" s="19">
        <f t="shared" si="22"/>
        <v>1166340.2709479062</v>
      </c>
      <c r="AH61" s="19">
        <f t="shared" si="22"/>
        <v>1172637.6382077232</v>
      </c>
      <c r="AI61" s="19">
        <f t="shared" si="22"/>
        <v>1178969.0065522946</v>
      </c>
      <c r="AJ61" s="19">
        <f t="shared" si="22"/>
        <v>1185334.5595621099</v>
      </c>
      <c r="AK61" s="19">
        <f t="shared" si="22"/>
        <v>1191734.4818088566</v>
      </c>
      <c r="AL61" s="19">
        <f t="shared" si="22"/>
        <v>1198168.9588607713</v>
      </c>
      <c r="AM61" s="19">
        <f t="shared" si="22"/>
        <v>1204638.17728802</v>
      </c>
      <c r="AN61" s="19">
        <f t="shared" si="22"/>
        <v>1211142.3246681099</v>
      </c>
      <c r="AO61" s="19">
        <f t="shared" si="22"/>
        <v>1217681.5895913255</v>
      </c>
      <c r="AP61" s="19">
        <f t="shared" si="22"/>
        <v>1224256.1616661989</v>
      </c>
      <c r="AQ61" s="19">
        <f t="shared" si="22"/>
        <v>1230866.231525006</v>
      </c>
      <c r="AR61" s="19">
        <f t="shared" si="22"/>
        <v>1237511.9908292957</v>
      </c>
    </row>
    <row r="62" spans="1:44">
      <c r="C62" s="21"/>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row>
    <row r="63" spans="1:44" ht="15">
      <c r="A63" s="2" t="s">
        <v>276</v>
      </c>
      <c r="C63" s="292"/>
      <c r="D63" s="86"/>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row>
    <row r="64" spans="1:44">
      <c r="B64" s="1" t="s">
        <v>277</v>
      </c>
      <c r="C64" s="22" t="s">
        <v>267</v>
      </c>
      <c r="D64" s="86">
        <f>SUM(F64:AR64)</f>
        <v>173425559.76624718</v>
      </c>
      <c r="F64" s="19">
        <f>F48+F61</f>
        <v>1008519.2418492252</v>
      </c>
      <c r="G64" s="19">
        <f t="shared" ref="G64:AR64" si="23">G48+G61</f>
        <v>1013964.4933017496</v>
      </c>
      <c r="H64" s="19">
        <f t="shared" si="23"/>
        <v>1019439.1450494304</v>
      </c>
      <c r="I64" s="19">
        <f t="shared" si="23"/>
        <v>1024943.3558319258</v>
      </c>
      <c r="J64" s="19">
        <f t="shared" si="23"/>
        <v>1030477.2852459699</v>
      </c>
      <c r="K64" s="19">
        <f t="shared" si="23"/>
        <v>2079859.6695499998</v>
      </c>
      <c r="L64" s="19">
        <f t="shared" si="23"/>
        <v>2253521.7745818533</v>
      </c>
      <c r="M64" s="19">
        <f t="shared" si="23"/>
        <v>2427214.0822243132</v>
      </c>
      <c r="N64" s="19">
        <f t="shared" si="23"/>
        <v>2600936.7555489414</v>
      </c>
      <c r="O64" s="19">
        <f t="shared" si="23"/>
        <v>2774689.9585077669</v>
      </c>
      <c r="P64" s="19">
        <f t="shared" si="23"/>
        <v>2948473.8559380369</v>
      </c>
      <c r="Q64" s="19">
        <f t="shared" si="23"/>
        <v>3122288.6135669951</v>
      </c>
      <c r="R64" s="19">
        <f t="shared" si="23"/>
        <v>3296134.3980166903</v>
      </c>
      <c r="S64" s="19">
        <f t="shared" si="23"/>
        <v>3470011.3768088049</v>
      </c>
      <c r="T64" s="19">
        <f t="shared" si="23"/>
        <v>3643919.7183695147</v>
      </c>
      <c r="U64" s="19">
        <f t="shared" si="23"/>
        <v>3817859.5920343697</v>
      </c>
      <c r="V64" s="19">
        <f t="shared" si="23"/>
        <v>3991831.168053207</v>
      </c>
      <c r="W64" s="19">
        <f t="shared" si="23"/>
        <v>4165834.617595084</v>
      </c>
      <c r="X64" s="19">
        <f t="shared" si="23"/>
        <v>4339870.112753246</v>
      </c>
      <c r="Y64" s="19">
        <f t="shared" si="23"/>
        <v>4513937.8265501112</v>
      </c>
      <c r="Z64" s="19">
        <f t="shared" si="23"/>
        <v>4688037.9329422889</v>
      </c>
      <c r="AA64" s="19">
        <f t="shared" si="23"/>
        <v>4862170.6068256274</v>
      </c>
      <c r="AB64" s="19">
        <f t="shared" si="23"/>
        <v>5036336.0240402799</v>
      </c>
      <c r="AC64" s="19">
        <f t="shared" si="23"/>
        <v>5210534.3613758059</v>
      </c>
      <c r="AD64" s="19">
        <f t="shared" si="23"/>
        <v>5384765.796576296</v>
      </c>
      <c r="AE64" s="19">
        <f t="shared" si="23"/>
        <v>5559030.5083455276</v>
      </c>
      <c r="AF64" s="19">
        <f t="shared" si="23"/>
        <v>5733328.6763521433</v>
      </c>
      <c r="AG64" s="19">
        <f t="shared" si="23"/>
        <v>5907660.4812348643</v>
      </c>
      <c r="AH64" s="19">
        <f t="shared" si="23"/>
        <v>6082026.1046077246</v>
      </c>
      <c r="AI64" s="19">
        <f t="shared" si="23"/>
        <v>6256425.72906534</v>
      </c>
      <c r="AJ64" s="19">
        <f t="shared" si="23"/>
        <v>6430859.5381881986</v>
      </c>
      <c r="AK64" s="19">
        <f t="shared" si="23"/>
        <v>6605327.7165479902</v>
      </c>
      <c r="AL64" s="19">
        <f t="shared" si="23"/>
        <v>6779830.449712947</v>
      </c>
      <c r="AM64" s="19">
        <f t="shared" si="23"/>
        <v>6954367.9242532412</v>
      </c>
      <c r="AN64" s="19">
        <f t="shared" si="23"/>
        <v>7128940.3277463727</v>
      </c>
      <c r="AO64" s="19">
        <f t="shared" si="23"/>
        <v>7303547.8487826316</v>
      </c>
      <c r="AP64" s="19">
        <f t="shared" si="23"/>
        <v>7478190.6769705489</v>
      </c>
      <c r="AQ64" s="19">
        <f t="shared" si="23"/>
        <v>7652869.0029424001</v>
      </c>
      <c r="AR64" s="19">
        <f t="shared" si="23"/>
        <v>7827583.0183597347</v>
      </c>
    </row>
    <row r="65" spans="1:44">
      <c r="C65" s="22"/>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row>
    <row r="66" spans="1:44" s="9" customFormat="1">
      <c r="A66" s="8" t="s">
        <v>225</v>
      </c>
      <c r="B66" s="13"/>
      <c r="C66" s="293"/>
    </row>
    <row r="67" spans="1:44" ht="15">
      <c r="A67" s="2" t="s">
        <v>243</v>
      </c>
      <c r="C67" s="21"/>
    </row>
    <row r="68" spans="1:44">
      <c r="B68" s="1" t="s">
        <v>230</v>
      </c>
      <c r="C68" s="292" t="s">
        <v>101</v>
      </c>
      <c r="D68" s="86">
        <f t="shared" ref="D68" si="24">SUM(F68:AR68)</f>
        <v>985873.22936411866</v>
      </c>
      <c r="F68" s="19">
        <f>Traffic!F41</f>
        <v>18157.5576510354</v>
      </c>
      <c r="G68" s="19">
        <f>Traffic!G41</f>
        <v>18459.814285905384</v>
      </c>
      <c r="H68" s="19">
        <f>Traffic!H41</f>
        <v>18767.102383435638</v>
      </c>
      <c r="I68" s="19">
        <f>Traffic!I41</f>
        <v>19079.505698996873</v>
      </c>
      <c r="J68" s="19">
        <f>Traffic!J41</f>
        <v>19397.109382179045</v>
      </c>
      <c r="K68" s="19">
        <f>Traffic!K41</f>
        <v>19720</v>
      </c>
      <c r="L68" s="19">
        <f>Traffic!L41</f>
        <v>20048.265560500433</v>
      </c>
      <c r="M68" s="19">
        <f>Traffic!M41</f>
        <v>20381.995536731629</v>
      </c>
      <c r="N68" s="19">
        <f>Traffic!N41</f>
        <v>20721.280891142509</v>
      </c>
      <c r="O68" s="19">
        <f>Traffic!O41</f>
        <v>21066.214100372621</v>
      </c>
      <c r="P68" s="19">
        <f>Traffic!P41</f>
        <v>21416.889180457863</v>
      </c>
      <c r="Q68" s="19">
        <f>Traffic!Q41</f>
        <v>21773.401712455769</v>
      </c>
      <c r="R68" s="19">
        <f>Traffic!R41</f>
        <v>22135.848868497371</v>
      </c>
      <c r="S68" s="19">
        <f>Traffic!S41</f>
        <v>22504.329438272736</v>
      </c>
      <c r="T68" s="19">
        <f>Traffic!T41</f>
        <v>22878.943855957372</v>
      </c>
      <c r="U68" s="19">
        <f>Traffic!U41</f>
        <v>23259.794227586874</v>
      </c>
      <c r="V68" s="19">
        <f>Traffic!V41</f>
        <v>23646.984358887257</v>
      </c>
      <c r="W68" s="19">
        <f>Traffic!W41</f>
        <v>24040.619783568553</v>
      </c>
      <c r="X68" s="19">
        <f>Traffic!X41</f>
        <v>24440.807792089392</v>
      </c>
      <c r="Y68" s="19">
        <f>Traffic!Y41</f>
        <v>24847.657460900427</v>
      </c>
      <c r="Z68" s="19">
        <f>Traffic!Z41</f>
        <v>25261.279682174529</v>
      </c>
      <c r="AA68" s="19">
        <f>Traffic!AA41</f>
        <v>25681.787194031895</v>
      </c>
      <c r="AB68" s="19">
        <f>Traffic!AB41</f>
        <v>26109.294611268291</v>
      </c>
      <c r="AC68" s="19">
        <f>Traffic!AC41</f>
        <v>26543.918456594809</v>
      </c>
      <c r="AD68" s="19">
        <f>Traffic!AD41</f>
        <v>26985.777192397643</v>
      </c>
      <c r="AE68" s="19">
        <f>Traffic!AE41</f>
        <v>27434.991253026561</v>
      </c>
      <c r="AF68" s="19">
        <f>Traffic!AF41</f>
        <v>27891.683077620844</v>
      </c>
      <c r="AG68" s="19">
        <f>Traffic!AG41</f>
        <v>28355.977143481679</v>
      </c>
      <c r="AH68" s="19">
        <f>Traffic!AH41</f>
        <v>28828.000000000062</v>
      </c>
      <c r="AI68" s="19">
        <f>Traffic!AI41</f>
        <v>29307.880303149479</v>
      </c>
      <c r="AJ68" s="19">
        <f>Traffic!AJ41</f>
        <v>29795.748850552773</v>
      </c>
      <c r="AK68" s="19">
        <f>Traffic!AK41</f>
        <v>30291.738617132734</v>
      </c>
      <c r="AL68" s="19">
        <f>Traffic!AL41</f>
        <v>30795.984791356146</v>
      </c>
      <c r="AM68" s="19">
        <f>Traffic!AM41</f>
        <v>31308.624812081165</v>
      </c>
      <c r="AN68" s="19">
        <f>Traffic!AN41</f>
        <v>31829.798406018061</v>
      </c>
      <c r="AO68" s="19">
        <f>Traffic!AO41</f>
        <v>32359.647625813563</v>
      </c>
      <c r="AP68" s="19">
        <f>Traffic!AP41</f>
        <v>32898.31688876915</v>
      </c>
      <c r="AQ68" s="19">
        <f>Traffic!AQ41</f>
        <v>33445.953016203872</v>
      </c>
      <c r="AR68" s="19">
        <f>Traffic!AR41</f>
        <v>34002.705273472398</v>
      </c>
    </row>
    <row r="69" spans="1:44">
      <c r="C69" s="292"/>
      <c r="D69" s="86"/>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row>
    <row r="70" spans="1:44" ht="15">
      <c r="B70" s="2" t="s">
        <v>256</v>
      </c>
      <c r="C70" s="292"/>
      <c r="D70" s="86"/>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row>
    <row r="71" spans="1:44">
      <c r="B71" s="1" t="s">
        <v>146</v>
      </c>
      <c r="C71" s="292" t="s">
        <v>147</v>
      </c>
      <c r="D71" s="105">
        <f>Inputs!$E$90</f>
        <v>59</v>
      </c>
      <c r="F71" s="109">
        <f t="shared" ref="F71:AR71" si="25">IF(F7=$D$72,$D$71,0)</f>
        <v>0</v>
      </c>
      <c r="G71" s="109">
        <f t="shared" si="25"/>
        <v>0</v>
      </c>
      <c r="H71" s="109">
        <f t="shared" si="25"/>
        <v>0</v>
      </c>
      <c r="I71" s="109">
        <f t="shared" si="25"/>
        <v>0</v>
      </c>
      <c r="J71" s="109">
        <f t="shared" si="25"/>
        <v>0</v>
      </c>
      <c r="K71" s="109">
        <f t="shared" si="25"/>
        <v>59</v>
      </c>
      <c r="L71" s="109">
        <f t="shared" si="25"/>
        <v>0</v>
      </c>
      <c r="M71" s="109">
        <f t="shared" si="25"/>
        <v>0</v>
      </c>
      <c r="N71" s="109">
        <f t="shared" si="25"/>
        <v>0</v>
      </c>
      <c r="O71" s="109">
        <f t="shared" si="25"/>
        <v>0</v>
      </c>
      <c r="P71" s="109">
        <f t="shared" si="25"/>
        <v>0</v>
      </c>
      <c r="Q71" s="109">
        <f t="shared" si="25"/>
        <v>0</v>
      </c>
      <c r="R71" s="109">
        <f t="shared" si="25"/>
        <v>0</v>
      </c>
      <c r="S71" s="109">
        <f t="shared" si="25"/>
        <v>0</v>
      </c>
      <c r="T71" s="109">
        <f t="shared" si="25"/>
        <v>0</v>
      </c>
      <c r="U71" s="109">
        <f t="shared" si="25"/>
        <v>0</v>
      </c>
      <c r="V71" s="109">
        <f t="shared" si="25"/>
        <v>0</v>
      </c>
      <c r="W71" s="109">
        <f t="shared" si="25"/>
        <v>0</v>
      </c>
      <c r="X71" s="109">
        <f t="shared" si="25"/>
        <v>0</v>
      </c>
      <c r="Y71" s="109">
        <f t="shared" si="25"/>
        <v>0</v>
      </c>
      <c r="Z71" s="109">
        <f t="shared" si="25"/>
        <v>0</v>
      </c>
      <c r="AA71" s="109">
        <f t="shared" si="25"/>
        <v>0</v>
      </c>
      <c r="AB71" s="109">
        <f t="shared" si="25"/>
        <v>0</v>
      </c>
      <c r="AC71" s="109">
        <f t="shared" si="25"/>
        <v>0</v>
      </c>
      <c r="AD71" s="109">
        <f t="shared" si="25"/>
        <v>0</v>
      </c>
      <c r="AE71" s="109">
        <f t="shared" si="25"/>
        <v>0</v>
      </c>
      <c r="AF71" s="109">
        <f t="shared" si="25"/>
        <v>0</v>
      </c>
      <c r="AG71" s="109">
        <f t="shared" si="25"/>
        <v>0</v>
      </c>
      <c r="AH71" s="109">
        <f t="shared" si="25"/>
        <v>0</v>
      </c>
      <c r="AI71" s="109">
        <f t="shared" si="25"/>
        <v>0</v>
      </c>
      <c r="AJ71" s="109">
        <f t="shared" si="25"/>
        <v>0</v>
      </c>
      <c r="AK71" s="109">
        <f t="shared" si="25"/>
        <v>0</v>
      </c>
      <c r="AL71" s="109">
        <f t="shared" si="25"/>
        <v>0</v>
      </c>
      <c r="AM71" s="109">
        <f t="shared" si="25"/>
        <v>0</v>
      </c>
      <c r="AN71" s="109">
        <f t="shared" si="25"/>
        <v>0</v>
      </c>
      <c r="AO71" s="109">
        <f t="shared" si="25"/>
        <v>0</v>
      </c>
      <c r="AP71" s="109">
        <f t="shared" si="25"/>
        <v>0</v>
      </c>
      <c r="AQ71" s="109">
        <f t="shared" si="25"/>
        <v>0</v>
      </c>
      <c r="AR71" s="109">
        <f t="shared" si="25"/>
        <v>0</v>
      </c>
    </row>
    <row r="72" spans="1:44">
      <c r="B72" s="1" t="s">
        <v>111</v>
      </c>
      <c r="C72" s="292" t="s">
        <v>112</v>
      </c>
      <c r="D72" s="23">
        <f>Inputs!$E$91</f>
        <v>2023</v>
      </c>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row>
    <row r="73" spans="1:44">
      <c r="B73" s="1" t="s">
        <v>149</v>
      </c>
      <c r="C73" s="292" t="s">
        <v>147</v>
      </c>
      <c r="D73" s="105">
        <f>Inputs!$E$92</f>
        <v>230</v>
      </c>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row>
    <row r="74" spans="1:44">
      <c r="B74" s="1" t="s">
        <v>151</v>
      </c>
      <c r="C74" s="292" t="s">
        <v>112</v>
      </c>
      <c r="D74" s="23">
        <f>Inputs!$E$94</f>
        <v>2046</v>
      </c>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row>
    <row r="75" spans="1:44">
      <c r="B75" s="1" t="s">
        <v>257</v>
      </c>
      <c r="C75" s="292" t="s">
        <v>147</v>
      </c>
      <c r="D75" s="18">
        <f>(D73-D71)/(D74-D72)</f>
        <v>7.4347826086956523</v>
      </c>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row>
    <row r="76" spans="1:44">
      <c r="B76" s="1" t="s">
        <v>258</v>
      </c>
      <c r="C76" s="292" t="s">
        <v>259</v>
      </c>
      <c r="D76" s="20"/>
      <c r="F76" s="19">
        <f t="shared" ref="F76:AR76" si="26">IF(F7&gt;$D$72,1,0)</f>
        <v>0</v>
      </c>
      <c r="G76" s="19">
        <f t="shared" si="26"/>
        <v>0</v>
      </c>
      <c r="H76" s="19">
        <f t="shared" si="26"/>
        <v>0</v>
      </c>
      <c r="I76" s="19">
        <f t="shared" si="26"/>
        <v>0</v>
      </c>
      <c r="J76" s="19">
        <f t="shared" si="26"/>
        <v>0</v>
      </c>
      <c r="K76" s="19">
        <f t="shared" si="26"/>
        <v>0</v>
      </c>
      <c r="L76" s="19">
        <f t="shared" si="26"/>
        <v>1</v>
      </c>
      <c r="M76" s="19">
        <f t="shared" si="26"/>
        <v>1</v>
      </c>
      <c r="N76" s="19">
        <f t="shared" si="26"/>
        <v>1</v>
      </c>
      <c r="O76" s="19">
        <f t="shared" si="26"/>
        <v>1</v>
      </c>
      <c r="P76" s="19">
        <f t="shared" si="26"/>
        <v>1</v>
      </c>
      <c r="Q76" s="19">
        <f t="shared" si="26"/>
        <v>1</v>
      </c>
      <c r="R76" s="19">
        <f t="shared" si="26"/>
        <v>1</v>
      </c>
      <c r="S76" s="19">
        <f t="shared" si="26"/>
        <v>1</v>
      </c>
      <c r="T76" s="19">
        <f t="shared" si="26"/>
        <v>1</v>
      </c>
      <c r="U76" s="19">
        <f t="shared" si="26"/>
        <v>1</v>
      </c>
      <c r="V76" s="19">
        <f t="shared" si="26"/>
        <v>1</v>
      </c>
      <c r="W76" s="19">
        <f t="shared" si="26"/>
        <v>1</v>
      </c>
      <c r="X76" s="19">
        <f t="shared" si="26"/>
        <v>1</v>
      </c>
      <c r="Y76" s="19">
        <f t="shared" si="26"/>
        <v>1</v>
      </c>
      <c r="Z76" s="19">
        <f t="shared" si="26"/>
        <v>1</v>
      </c>
      <c r="AA76" s="19">
        <f t="shared" si="26"/>
        <v>1</v>
      </c>
      <c r="AB76" s="19">
        <f t="shared" si="26"/>
        <v>1</v>
      </c>
      <c r="AC76" s="19">
        <f t="shared" si="26"/>
        <v>1</v>
      </c>
      <c r="AD76" s="19">
        <f t="shared" si="26"/>
        <v>1</v>
      </c>
      <c r="AE76" s="19">
        <f t="shared" si="26"/>
        <v>1</v>
      </c>
      <c r="AF76" s="19">
        <f t="shared" si="26"/>
        <v>1</v>
      </c>
      <c r="AG76" s="19">
        <f t="shared" si="26"/>
        <v>1</v>
      </c>
      <c r="AH76" s="19">
        <f t="shared" si="26"/>
        <v>1</v>
      </c>
      <c r="AI76" s="19">
        <f t="shared" si="26"/>
        <v>1</v>
      </c>
      <c r="AJ76" s="19">
        <f t="shared" si="26"/>
        <v>1</v>
      </c>
      <c r="AK76" s="19">
        <f t="shared" si="26"/>
        <v>1</v>
      </c>
      <c r="AL76" s="19">
        <f t="shared" si="26"/>
        <v>1</v>
      </c>
      <c r="AM76" s="19">
        <f t="shared" si="26"/>
        <v>1</v>
      </c>
      <c r="AN76" s="19">
        <f t="shared" si="26"/>
        <v>1</v>
      </c>
      <c r="AO76" s="19">
        <f t="shared" si="26"/>
        <v>1</v>
      </c>
      <c r="AP76" s="19">
        <f t="shared" si="26"/>
        <v>1</v>
      </c>
      <c r="AQ76" s="19">
        <f t="shared" si="26"/>
        <v>1</v>
      </c>
      <c r="AR76" s="19">
        <f t="shared" si="26"/>
        <v>1</v>
      </c>
    </row>
    <row r="77" spans="1:44" ht="15">
      <c r="A77" s="2"/>
      <c r="B77" s="1" t="s">
        <v>260</v>
      </c>
      <c r="C77" s="292" t="s">
        <v>147</v>
      </c>
      <c r="D77" s="105">
        <f>SUM(F77:AR77)</f>
        <v>6176.9130434782628</v>
      </c>
      <c r="F77" s="105">
        <f t="shared" ref="F77:J77" si="27">E77+F71+F76*$D$75</f>
        <v>0</v>
      </c>
      <c r="G77" s="105">
        <f t="shared" si="27"/>
        <v>0</v>
      </c>
      <c r="H77" s="105">
        <f t="shared" si="27"/>
        <v>0</v>
      </c>
      <c r="I77" s="105">
        <f t="shared" si="27"/>
        <v>0</v>
      </c>
      <c r="J77" s="105">
        <f t="shared" si="27"/>
        <v>0</v>
      </c>
      <c r="K77" s="105">
        <f>J77+K71+K76*$D$75</f>
        <v>59</v>
      </c>
      <c r="L77" s="105">
        <f t="shared" ref="L77:AR77" si="28">K77+L71+L76*$D$75</f>
        <v>66.434782608695656</v>
      </c>
      <c r="M77" s="105">
        <f t="shared" si="28"/>
        <v>73.869565217391312</v>
      </c>
      <c r="N77" s="105">
        <f t="shared" si="28"/>
        <v>81.304347826086968</v>
      </c>
      <c r="O77" s="105">
        <f t="shared" si="28"/>
        <v>88.739130434782624</v>
      </c>
      <c r="P77" s="105">
        <f t="shared" si="28"/>
        <v>96.173913043478279</v>
      </c>
      <c r="Q77" s="105">
        <f t="shared" si="28"/>
        <v>103.60869565217394</v>
      </c>
      <c r="R77" s="105">
        <f t="shared" si="28"/>
        <v>111.04347826086959</v>
      </c>
      <c r="S77" s="105">
        <f t="shared" si="28"/>
        <v>118.47826086956525</v>
      </c>
      <c r="T77" s="105">
        <f t="shared" si="28"/>
        <v>125.9130434782609</v>
      </c>
      <c r="U77" s="105">
        <f t="shared" si="28"/>
        <v>133.34782608695656</v>
      </c>
      <c r="V77" s="105">
        <f t="shared" si="28"/>
        <v>140.78260869565221</v>
      </c>
      <c r="W77" s="105">
        <f t="shared" si="28"/>
        <v>148.21739130434787</v>
      </c>
      <c r="X77" s="105">
        <f t="shared" si="28"/>
        <v>155.65217391304353</v>
      </c>
      <c r="Y77" s="105">
        <f t="shared" si="28"/>
        <v>163.08695652173918</v>
      </c>
      <c r="Z77" s="105">
        <f t="shared" si="28"/>
        <v>170.52173913043484</v>
      </c>
      <c r="AA77" s="105">
        <f t="shared" si="28"/>
        <v>177.95652173913049</v>
      </c>
      <c r="AB77" s="105">
        <f t="shared" si="28"/>
        <v>185.39130434782615</v>
      </c>
      <c r="AC77" s="105">
        <f t="shared" si="28"/>
        <v>192.82608695652181</v>
      </c>
      <c r="AD77" s="105">
        <f t="shared" si="28"/>
        <v>200.26086956521746</v>
      </c>
      <c r="AE77" s="105">
        <f t="shared" si="28"/>
        <v>207.69565217391312</v>
      </c>
      <c r="AF77" s="105">
        <f t="shared" si="28"/>
        <v>215.13043478260877</v>
      </c>
      <c r="AG77" s="105">
        <f t="shared" si="28"/>
        <v>222.56521739130443</v>
      </c>
      <c r="AH77" s="105">
        <f t="shared" si="28"/>
        <v>230.00000000000009</v>
      </c>
      <c r="AI77" s="105">
        <f t="shared" si="28"/>
        <v>237.43478260869574</v>
      </c>
      <c r="AJ77" s="105">
        <f t="shared" si="28"/>
        <v>244.8695652173914</v>
      </c>
      <c r="AK77" s="105">
        <f t="shared" si="28"/>
        <v>252.30434782608705</v>
      </c>
      <c r="AL77" s="105">
        <f t="shared" si="28"/>
        <v>259.73913043478268</v>
      </c>
      <c r="AM77" s="105">
        <f t="shared" si="28"/>
        <v>267.17391304347831</v>
      </c>
      <c r="AN77" s="105">
        <f t="shared" si="28"/>
        <v>274.60869565217394</v>
      </c>
      <c r="AO77" s="105">
        <f t="shared" si="28"/>
        <v>282.04347826086956</v>
      </c>
      <c r="AP77" s="105">
        <f t="shared" si="28"/>
        <v>289.47826086956519</v>
      </c>
      <c r="AQ77" s="105">
        <f t="shared" si="28"/>
        <v>296.91304347826082</v>
      </c>
      <c r="AR77" s="105">
        <f t="shared" si="28"/>
        <v>304.34782608695645</v>
      </c>
    </row>
    <row r="78" spans="1:44">
      <c r="C78" s="292"/>
      <c r="D78" s="105"/>
      <c r="F78" s="19"/>
      <c r="G78" s="19"/>
      <c r="H78" s="19"/>
      <c r="I78" s="19"/>
      <c r="J78" s="19"/>
      <c r="K78" s="19"/>
      <c r="L78" s="19"/>
      <c r="M78" s="19"/>
      <c r="N78" s="19"/>
      <c r="O78" s="19">
        <f>O77/2*365</f>
        <v>16194.89130434783</v>
      </c>
      <c r="P78" s="19">
        <f t="shared" ref="P78:AH78" si="29">P77/2</f>
        <v>48.08695652173914</v>
      </c>
      <c r="Q78" s="19">
        <f t="shared" si="29"/>
        <v>51.804347826086968</v>
      </c>
      <c r="R78" s="19">
        <f t="shared" si="29"/>
        <v>55.521739130434796</v>
      </c>
      <c r="S78" s="19">
        <f t="shared" si="29"/>
        <v>59.239130434782624</v>
      </c>
      <c r="T78" s="19">
        <f t="shared" si="29"/>
        <v>62.956521739130451</v>
      </c>
      <c r="U78" s="19">
        <f t="shared" si="29"/>
        <v>66.673913043478279</v>
      </c>
      <c r="V78" s="19">
        <f t="shared" si="29"/>
        <v>70.391304347826107</v>
      </c>
      <c r="W78" s="19">
        <f t="shared" si="29"/>
        <v>74.108695652173935</v>
      </c>
      <c r="X78" s="19">
        <f t="shared" si="29"/>
        <v>77.826086956521763</v>
      </c>
      <c r="Y78" s="19">
        <f t="shared" si="29"/>
        <v>81.543478260869591</v>
      </c>
      <c r="Z78" s="19">
        <f t="shared" si="29"/>
        <v>85.260869565217419</v>
      </c>
      <c r="AA78" s="19">
        <f t="shared" si="29"/>
        <v>88.978260869565247</v>
      </c>
      <c r="AB78" s="19">
        <f t="shared" si="29"/>
        <v>92.695652173913075</v>
      </c>
      <c r="AC78" s="19">
        <f t="shared" si="29"/>
        <v>96.413043478260903</v>
      </c>
      <c r="AD78" s="19">
        <f t="shared" si="29"/>
        <v>100.13043478260873</v>
      </c>
      <c r="AE78" s="19">
        <f t="shared" si="29"/>
        <v>103.84782608695656</v>
      </c>
      <c r="AF78" s="19">
        <f t="shared" si="29"/>
        <v>107.56521739130439</v>
      </c>
      <c r="AG78" s="19">
        <f t="shared" si="29"/>
        <v>111.28260869565221</v>
      </c>
      <c r="AH78" s="19">
        <f t="shared" si="29"/>
        <v>115.00000000000004</v>
      </c>
      <c r="AI78" s="19"/>
      <c r="AJ78" s="19"/>
      <c r="AK78" s="19"/>
      <c r="AL78" s="19"/>
      <c r="AM78" s="19"/>
      <c r="AN78" s="19"/>
      <c r="AO78" s="19"/>
      <c r="AP78" s="19"/>
      <c r="AQ78" s="19"/>
      <c r="AR78" s="19"/>
    </row>
    <row r="79" spans="1:44" ht="15">
      <c r="B79" s="2" t="s">
        <v>261</v>
      </c>
      <c r="C79" s="292"/>
      <c r="D79" s="5"/>
      <c r="F79" s="19"/>
      <c r="G79" s="19"/>
      <c r="H79" s="19"/>
      <c r="I79" s="19"/>
      <c r="J79" s="19"/>
      <c r="K79" s="19"/>
      <c r="L79" s="19"/>
      <c r="M79" s="19"/>
      <c r="N79" s="19"/>
      <c r="O79" s="19">
        <f>O78*8.887*10^-3*O80</f>
        <v>8779.3639403260895</v>
      </c>
      <c r="P79" s="19">
        <f t="shared" ref="P79:AH79" si="30">P78*8.887*10^-3*P80</f>
        <v>26.537504702434788</v>
      </c>
      <c r="Q79" s="19">
        <f t="shared" si="30"/>
        <v>29.103604625953139</v>
      </c>
      <c r="R79" s="19">
        <f t="shared" si="30"/>
        <v>31.753485995194559</v>
      </c>
      <c r="S79" s="19">
        <f t="shared" si="30"/>
        <v>34.489333525829856</v>
      </c>
      <c r="T79" s="19">
        <f t="shared" si="30"/>
        <v>37.313383438105596</v>
      </c>
      <c r="U79" s="19">
        <f t="shared" si="30"/>
        <v>40.227924603160879</v>
      </c>
      <c r="V79" s="19">
        <f t="shared" si="30"/>
        <v>43.235299713924221</v>
      </c>
      <c r="W79" s="19">
        <f t="shared" si="30"/>
        <v>46.337906481103602</v>
      </c>
      <c r="X79" s="19">
        <f t="shared" si="30"/>
        <v>49.538198854794139</v>
      </c>
      <c r="Y79" s="19">
        <f t="shared" si="30"/>
        <v>52.838688272237668</v>
      </c>
      <c r="Z79" s="19">
        <f t="shared" si="30"/>
        <v>56.241944932280198</v>
      </c>
      <c r="AA79" s="19">
        <f t="shared" si="30"/>
        <v>59.750599097084056</v>
      </c>
      <c r="AB79" s="19">
        <f t="shared" si="30"/>
        <v>63.367342421662798</v>
      </c>
      <c r="AC79" s="19">
        <f t="shared" si="30"/>
        <v>67.094929311818902</v>
      </c>
      <c r="AD79" s="19">
        <f t="shared" si="30"/>
        <v>70.93617831107602</v>
      </c>
      <c r="AE79" s="19">
        <f t="shared" si="30"/>
        <v>74.893973517209361</v>
      </c>
      <c r="AF79" s="19">
        <f t="shared" si="30"/>
        <v>78.971266028990712</v>
      </c>
      <c r="AG79" s="19">
        <f t="shared" si="30"/>
        <v>83.171075423776614</v>
      </c>
      <c r="AH79" s="19">
        <f t="shared" si="30"/>
        <v>87.49649126658143</v>
      </c>
      <c r="AI79" s="19"/>
      <c r="AJ79" s="19"/>
      <c r="AK79" s="19"/>
      <c r="AL79" s="19"/>
      <c r="AM79" s="19"/>
      <c r="AN79" s="19"/>
      <c r="AO79" s="19"/>
      <c r="AP79" s="19"/>
      <c r="AQ79" s="19"/>
      <c r="AR79" s="19"/>
    </row>
    <row r="80" spans="1:44">
      <c r="B80" s="1" t="s">
        <v>262</v>
      </c>
      <c r="C80" s="292" t="s">
        <v>127</v>
      </c>
      <c r="D80" s="110">
        <f>Inputs!$E$71</f>
        <v>18.8</v>
      </c>
      <c r="F80" s="19"/>
      <c r="G80" s="19"/>
      <c r="H80" s="19"/>
      <c r="I80" s="19"/>
      <c r="J80" s="19"/>
      <c r="K80" s="19"/>
      <c r="L80" s="19"/>
      <c r="M80" s="19"/>
      <c r="N80" s="113">
        <v>1.7999999999999999E-2</v>
      </c>
      <c r="O80" s="19">
        <v>61</v>
      </c>
      <c r="P80" s="19">
        <f t="shared" ref="P80:AH80" si="31">O80*(1+$N$80)</f>
        <v>62.097999999999999</v>
      </c>
      <c r="Q80" s="19">
        <f t="shared" si="31"/>
        <v>63.215764</v>
      </c>
      <c r="R80" s="19">
        <f t="shared" si="31"/>
        <v>64.353647752000001</v>
      </c>
      <c r="S80" s="19">
        <f t="shared" si="31"/>
        <v>65.512013411536003</v>
      </c>
      <c r="T80" s="19">
        <f t="shared" si="31"/>
        <v>66.691229652943647</v>
      </c>
      <c r="U80" s="19">
        <f t="shared" si="31"/>
        <v>67.891671786696634</v>
      </c>
      <c r="V80" s="19">
        <f t="shared" si="31"/>
        <v>69.113721878857177</v>
      </c>
      <c r="W80" s="19">
        <f t="shared" si="31"/>
        <v>70.357768872676601</v>
      </c>
      <c r="X80" s="19">
        <f t="shared" si="31"/>
        <v>71.624208712384785</v>
      </c>
      <c r="Y80" s="19">
        <f t="shared" si="31"/>
        <v>72.913444469207718</v>
      </c>
      <c r="Z80" s="19">
        <f t="shared" si="31"/>
        <v>74.22588646965346</v>
      </c>
      <c r="AA80" s="19">
        <f t="shared" si="31"/>
        <v>75.561952426107226</v>
      </c>
      <c r="AB80" s="19">
        <f t="shared" si="31"/>
        <v>76.922067569777155</v>
      </c>
      <c r="AC80" s="19">
        <f t="shared" si="31"/>
        <v>78.306664786033139</v>
      </c>
      <c r="AD80" s="19">
        <f t="shared" si="31"/>
        <v>79.716184752181732</v>
      </c>
      <c r="AE80" s="19">
        <f t="shared" si="31"/>
        <v>81.151076077721001</v>
      </c>
      <c r="AF80" s="19">
        <f t="shared" si="31"/>
        <v>82.611795447119974</v>
      </c>
      <c r="AG80" s="19">
        <f t="shared" si="31"/>
        <v>84.098807765168132</v>
      </c>
      <c r="AH80" s="19">
        <f t="shared" si="31"/>
        <v>85.612586304941161</v>
      </c>
      <c r="AI80" s="19"/>
      <c r="AJ80" s="19"/>
      <c r="AK80" s="19"/>
      <c r="AL80" s="19"/>
      <c r="AM80" s="19"/>
      <c r="AN80" s="19"/>
      <c r="AO80" s="19"/>
      <c r="AP80" s="19"/>
      <c r="AQ80" s="19"/>
      <c r="AR80" s="19"/>
    </row>
    <row r="81" spans="1:44" ht="15">
      <c r="A81" s="2"/>
      <c r="B81" s="1" t="s">
        <v>263</v>
      </c>
      <c r="C81" s="22" t="s">
        <v>138</v>
      </c>
      <c r="D81" s="18">
        <f>Inputs!$E$81</f>
        <v>1.67</v>
      </c>
      <c r="F81" s="19"/>
      <c r="G81" s="19"/>
      <c r="H81" s="19"/>
      <c r="I81" s="19"/>
      <c r="J81" s="19"/>
      <c r="K81" s="19"/>
      <c r="L81" s="19"/>
      <c r="M81" s="19"/>
      <c r="N81" s="19"/>
      <c r="O81" s="19">
        <f t="shared" ref="O81:AH81" si="32">O80*O16</f>
        <v>51.086539657702922</v>
      </c>
      <c r="P81" s="19">
        <f t="shared" si="32"/>
        <v>50.491356671399579</v>
      </c>
      <c r="Q81" s="19">
        <f t="shared" si="32"/>
        <v>49.903107855810461</v>
      </c>
      <c r="R81" s="19">
        <f t="shared" si="32"/>
        <v>49.321712424480637</v>
      </c>
      <c r="S81" s="19">
        <f t="shared" si="32"/>
        <v>48.747090532156591</v>
      </c>
      <c r="T81" s="19">
        <f t="shared" si="32"/>
        <v>48.179163263820783</v>
      </c>
      <c r="U81" s="19">
        <f t="shared" si="32"/>
        <v>47.617852623853949</v>
      </c>
      <c r="V81" s="19">
        <f t="shared" si="32"/>
        <v>47.063081525323611</v>
      </c>
      <c r="W81" s="19">
        <f t="shared" si="32"/>
        <v>46.514773779397501</v>
      </c>
      <c r="X81" s="19">
        <f t="shared" si="32"/>
        <v>45.972854084880247</v>
      </c>
      <c r="Y81" s="19">
        <f t="shared" si="32"/>
        <v>45.437248017871951</v>
      </c>
      <c r="Z81" s="19">
        <f t="shared" si="32"/>
        <v>44.907882021547231</v>
      </c>
      <c r="AA81" s="19">
        <f t="shared" si="32"/>
        <v>44.384683396053475</v>
      </c>
      <c r="AB81" s="19">
        <f t="shared" si="32"/>
        <v>43.867580288526639</v>
      </c>
      <c r="AC81" s="19">
        <f t="shared" si="32"/>
        <v>43.356501683223414</v>
      </c>
      <c r="AD81" s="19">
        <f t="shared" si="32"/>
        <v>42.851377391768388</v>
      </c>
      <c r="AE81" s="19">
        <f t="shared" si="32"/>
        <v>42.352138043514771</v>
      </c>
      <c r="AF81" s="19">
        <f t="shared" si="32"/>
        <v>41.858715076017511</v>
      </c>
      <c r="AG81" s="19">
        <f t="shared" si="32"/>
        <v>41.371040725617306</v>
      </c>
      <c r="AH81" s="19">
        <f t="shared" si="32"/>
        <v>40.889048018134389</v>
      </c>
      <c r="AI81" s="19"/>
      <c r="AJ81" s="19"/>
      <c r="AK81" s="19"/>
      <c r="AL81" s="19"/>
      <c r="AM81" s="19"/>
      <c r="AN81" s="19"/>
      <c r="AO81" s="19"/>
      <c r="AP81" s="19"/>
      <c r="AQ81" s="19"/>
      <c r="AR81" s="19"/>
    </row>
    <row r="82" spans="1:44" ht="15">
      <c r="A82" s="2"/>
      <c r="C82" s="22"/>
      <c r="D82" s="18"/>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row>
    <row r="83" spans="1:44" ht="15">
      <c r="B83" s="2" t="s">
        <v>265</v>
      </c>
      <c r="C83" s="292"/>
      <c r="D83" s="86"/>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row>
    <row r="84" spans="1:44" ht="15">
      <c r="A84" s="2"/>
      <c r="B84" s="1" t="s">
        <v>265</v>
      </c>
      <c r="C84" s="292" t="s">
        <v>266</v>
      </c>
      <c r="D84" s="86">
        <f>SUM(F84:AR84)</f>
        <v>193930.36191304345</v>
      </c>
      <c r="F84" s="19">
        <f t="shared" ref="F84:J84" si="33">F77*$D$80*$D$81</f>
        <v>0</v>
      </c>
      <c r="G84" s="19">
        <f t="shared" si="33"/>
        <v>0</v>
      </c>
      <c r="H84" s="19">
        <f t="shared" si="33"/>
        <v>0</v>
      </c>
      <c r="I84" s="19">
        <f t="shared" si="33"/>
        <v>0</v>
      </c>
      <c r="J84" s="19">
        <f t="shared" si="33"/>
        <v>0</v>
      </c>
      <c r="K84" s="19">
        <f>K77*$D$80*$D$81</f>
        <v>1852.364</v>
      </c>
      <c r="L84" s="19">
        <f t="shared" ref="L84:AR84" si="34">L77*$D$80*$D$81</f>
        <v>2085.7864347826089</v>
      </c>
      <c r="M84" s="19">
        <f t="shared" si="34"/>
        <v>2319.2088695652178</v>
      </c>
      <c r="N84" s="19">
        <f t="shared" si="34"/>
        <v>2552.6313043478262</v>
      </c>
      <c r="O84" s="19">
        <f t="shared" si="34"/>
        <v>2786.0537391304351</v>
      </c>
      <c r="P84" s="19">
        <f t="shared" si="34"/>
        <v>3019.476173913044</v>
      </c>
      <c r="Q84" s="19">
        <f t="shared" si="34"/>
        <v>3252.8986086956529</v>
      </c>
      <c r="R84" s="19">
        <f t="shared" si="34"/>
        <v>3486.3210434782618</v>
      </c>
      <c r="S84" s="19">
        <f t="shared" si="34"/>
        <v>3719.7434782608707</v>
      </c>
      <c r="T84" s="19">
        <f t="shared" si="34"/>
        <v>3953.1659130434791</v>
      </c>
      <c r="U84" s="19">
        <f t="shared" si="34"/>
        <v>4186.5883478260876</v>
      </c>
      <c r="V84" s="19">
        <f t="shared" si="34"/>
        <v>4420.0107826086969</v>
      </c>
      <c r="W84" s="19">
        <f t="shared" si="34"/>
        <v>4653.4332173913053</v>
      </c>
      <c r="X84" s="19">
        <f t="shared" si="34"/>
        <v>4886.8556521739147</v>
      </c>
      <c r="Y84" s="19">
        <f t="shared" si="34"/>
        <v>5120.2780869565231</v>
      </c>
      <c r="Z84" s="19">
        <f t="shared" si="34"/>
        <v>5353.7005217391325</v>
      </c>
      <c r="AA84" s="19">
        <f t="shared" si="34"/>
        <v>5587.1229565217409</v>
      </c>
      <c r="AB84" s="19">
        <f t="shared" si="34"/>
        <v>5820.5453913043502</v>
      </c>
      <c r="AC84" s="19">
        <f t="shared" si="34"/>
        <v>6053.9678260869587</v>
      </c>
      <c r="AD84" s="19">
        <f t="shared" si="34"/>
        <v>6287.3902608695671</v>
      </c>
      <c r="AE84" s="19">
        <f t="shared" si="34"/>
        <v>6520.8126956521764</v>
      </c>
      <c r="AF84" s="19">
        <f t="shared" si="34"/>
        <v>6754.2351304347849</v>
      </c>
      <c r="AG84" s="19">
        <f t="shared" si="34"/>
        <v>6987.6575652173942</v>
      </c>
      <c r="AH84" s="19">
        <f t="shared" si="34"/>
        <v>7221.0800000000027</v>
      </c>
      <c r="AI84" s="19">
        <f t="shared" si="34"/>
        <v>7454.502434782612</v>
      </c>
      <c r="AJ84" s="19">
        <f t="shared" si="34"/>
        <v>7687.9248695652204</v>
      </c>
      <c r="AK84" s="19">
        <f t="shared" si="34"/>
        <v>7921.3473043478298</v>
      </c>
      <c r="AL84" s="19">
        <f t="shared" si="34"/>
        <v>8154.7697391304364</v>
      </c>
      <c r="AM84" s="19">
        <f t="shared" si="34"/>
        <v>8388.1921739130448</v>
      </c>
      <c r="AN84" s="19">
        <f t="shared" si="34"/>
        <v>8621.6146086956524</v>
      </c>
      <c r="AO84" s="19">
        <f t="shared" si="34"/>
        <v>8855.0370434782599</v>
      </c>
      <c r="AP84" s="19">
        <f t="shared" si="34"/>
        <v>9088.4594782608692</v>
      </c>
      <c r="AQ84" s="19">
        <f t="shared" si="34"/>
        <v>9321.8819130434767</v>
      </c>
      <c r="AR84" s="19">
        <f t="shared" si="34"/>
        <v>9555.3043478260843</v>
      </c>
    </row>
    <row r="85" spans="1:44" ht="15">
      <c r="A85" s="2"/>
      <c r="B85" s="1" t="s">
        <v>74</v>
      </c>
      <c r="C85" s="292" t="s">
        <v>75</v>
      </c>
      <c r="D85" s="86">
        <f>Inputs!$E$32</f>
        <v>365</v>
      </c>
      <c r="F85" s="105"/>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5"/>
      <c r="AR85" s="105"/>
    </row>
    <row r="86" spans="1:44">
      <c r="B86" s="1" t="s">
        <v>260</v>
      </c>
      <c r="C86" s="292" t="s">
        <v>267</v>
      </c>
      <c r="D86" s="86">
        <f>SUM(F86:AR86)</f>
        <v>70784582.098260894</v>
      </c>
      <c r="F86" s="19">
        <f t="shared" ref="F86:J86" si="35">F84*$D$85</f>
        <v>0</v>
      </c>
      <c r="G86" s="19">
        <f t="shared" si="35"/>
        <v>0</v>
      </c>
      <c r="H86" s="19">
        <f t="shared" si="35"/>
        <v>0</v>
      </c>
      <c r="I86" s="19">
        <f t="shared" si="35"/>
        <v>0</v>
      </c>
      <c r="J86" s="19">
        <f t="shared" si="35"/>
        <v>0</v>
      </c>
      <c r="K86" s="19">
        <f>K84*$D$85</f>
        <v>676112.86</v>
      </c>
      <c r="L86" s="19">
        <f t="shared" ref="L86:AR86" si="36">L84*$D$85</f>
        <v>761312.04869565228</v>
      </c>
      <c r="M86" s="19">
        <f t="shared" si="36"/>
        <v>846511.23739130446</v>
      </c>
      <c r="N86" s="19">
        <f t="shared" si="36"/>
        <v>931710.42608695664</v>
      </c>
      <c r="O86" s="19">
        <f t="shared" si="36"/>
        <v>1016909.6147826088</v>
      </c>
      <c r="P86" s="19">
        <f t="shared" si="36"/>
        <v>1102108.803478261</v>
      </c>
      <c r="Q86" s="19">
        <f t="shared" si="36"/>
        <v>1187307.9921739134</v>
      </c>
      <c r="R86" s="19">
        <f t="shared" si="36"/>
        <v>1272507.1808695656</v>
      </c>
      <c r="S86" s="19">
        <f t="shared" si="36"/>
        <v>1357706.3695652178</v>
      </c>
      <c r="T86" s="19">
        <f t="shared" si="36"/>
        <v>1442905.5582608699</v>
      </c>
      <c r="U86" s="19">
        <f t="shared" si="36"/>
        <v>1528104.7469565219</v>
      </c>
      <c r="V86" s="19">
        <f t="shared" si="36"/>
        <v>1613303.9356521743</v>
      </c>
      <c r="W86" s="19">
        <f t="shared" si="36"/>
        <v>1698503.1243478265</v>
      </c>
      <c r="X86" s="19">
        <f t="shared" si="36"/>
        <v>1783702.3130434789</v>
      </c>
      <c r="Y86" s="19">
        <f t="shared" si="36"/>
        <v>1868901.5017391308</v>
      </c>
      <c r="Z86" s="19">
        <f t="shared" si="36"/>
        <v>1954100.6904347832</v>
      </c>
      <c r="AA86" s="19">
        <f t="shared" si="36"/>
        <v>2039299.8791304354</v>
      </c>
      <c r="AB86" s="19">
        <f t="shared" si="36"/>
        <v>2124499.0678260881</v>
      </c>
      <c r="AC86" s="19">
        <f t="shared" si="36"/>
        <v>2209698.25652174</v>
      </c>
      <c r="AD86" s="19">
        <f t="shared" si="36"/>
        <v>2294897.4452173919</v>
      </c>
      <c r="AE86" s="19">
        <f t="shared" si="36"/>
        <v>2380096.6339130444</v>
      </c>
      <c r="AF86" s="19">
        <f t="shared" si="36"/>
        <v>2465295.8226086963</v>
      </c>
      <c r="AG86" s="19">
        <f t="shared" si="36"/>
        <v>2550495.0113043487</v>
      </c>
      <c r="AH86" s="19">
        <f t="shared" si="36"/>
        <v>2635694.2000000011</v>
      </c>
      <c r="AI86" s="19">
        <f t="shared" si="36"/>
        <v>2720893.3886956535</v>
      </c>
      <c r="AJ86" s="19">
        <f t="shared" si="36"/>
        <v>2806092.5773913055</v>
      </c>
      <c r="AK86" s="19">
        <f t="shared" si="36"/>
        <v>2891291.7660869579</v>
      </c>
      <c r="AL86" s="19">
        <f t="shared" si="36"/>
        <v>2976490.9547826094</v>
      </c>
      <c r="AM86" s="19">
        <f t="shared" si="36"/>
        <v>3061690.1434782613</v>
      </c>
      <c r="AN86" s="19">
        <f t="shared" si="36"/>
        <v>3146889.3321739133</v>
      </c>
      <c r="AO86" s="19">
        <f t="shared" si="36"/>
        <v>3232088.5208695647</v>
      </c>
      <c r="AP86" s="19">
        <f t="shared" si="36"/>
        <v>3317287.7095652171</v>
      </c>
      <c r="AQ86" s="19">
        <f t="shared" si="36"/>
        <v>3402486.8982608691</v>
      </c>
      <c r="AR86" s="19">
        <f t="shared" si="36"/>
        <v>3487686.0869565206</v>
      </c>
    </row>
    <row r="87" spans="1:44">
      <c r="C87" s="292"/>
      <c r="D87" s="86"/>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row>
    <row r="88" spans="1:44" ht="15">
      <c r="A88" s="2" t="s">
        <v>237</v>
      </c>
      <c r="C88" s="22"/>
      <c r="D88" s="18"/>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row>
    <row r="89" spans="1:44" ht="15">
      <c r="A89" s="2"/>
      <c r="B89" s="1" t="str">
        <f>Traffic!$B$37</f>
        <v>Pedestrian Forecast</v>
      </c>
      <c r="C89" s="22" t="s">
        <v>180</v>
      </c>
      <c r="D89" s="18"/>
      <c r="F89" s="19">
        <f>Traffic!F$37</f>
        <v>66.680335831680836</v>
      </c>
      <c r="G89" s="19">
        <f>Traffic!G$37</f>
        <v>67.040359895154836</v>
      </c>
      <c r="H89" s="19">
        <f>Traffic!H$37</f>
        <v>67.402327819958614</v>
      </c>
      <c r="I89" s="19">
        <f>Traffic!I$37</f>
        <v>67.766250101493057</v>
      </c>
      <c r="J89" s="19">
        <f>Traffic!J$37</f>
        <v>68.132137291826353</v>
      </c>
      <c r="K89" s="19">
        <f>Traffic!K$37</f>
        <v>68.500000000000014</v>
      </c>
      <c r="L89" s="19">
        <f>Traffic!L$37</f>
        <v>68.869848892336449</v>
      </c>
      <c r="M89" s="19">
        <f>Traffic!M$37</f>
        <v>69.241694692748254</v>
      </c>
      <c r="N89" s="19">
        <f>Traffic!N$37</f>
        <v>69.615548183049142</v>
      </c>
      <c r="O89" s="19">
        <f>Traffic!O$37</f>
        <v>69.991420203266586</v>
      </c>
      <c r="P89" s="19">
        <f>Traffic!P$37</f>
        <v>70.369321651956099</v>
      </c>
      <c r="Q89" s="19">
        <f>Traffic!Q$37</f>
        <v>70.749263486517293</v>
      </c>
      <c r="R89" s="19">
        <f>Traffic!R$37</f>
        <v>71.131256723511555</v>
      </c>
      <c r="S89" s="19">
        <f>Traffic!S$37</f>
        <v>71.515312438981468</v>
      </c>
      <c r="T89" s="19">
        <f>Traffic!T$37</f>
        <v>71.901441768772003</v>
      </c>
      <c r="U89" s="19">
        <f>Traffic!U$37</f>
        <v>72.289655908853362</v>
      </c>
      <c r="V89" s="19">
        <f>Traffic!V$37</f>
        <v>72.679966115645641</v>
      </c>
      <c r="W89" s="19">
        <f>Traffic!W$37</f>
        <v>73.072383706345221</v>
      </c>
      <c r="X89" s="19">
        <f>Traffic!X$37</f>
        <v>73.466920059252885</v>
      </c>
      <c r="Y89" s="19">
        <f>Traffic!Y$37</f>
        <v>73.863586614103752</v>
      </c>
      <c r="Z89" s="19">
        <f>Traffic!Z$37</f>
        <v>74.262394872398971</v>
      </c>
      <c r="AA89" s="19">
        <f>Traffic!AA$37</f>
        <v>74.663356397739236</v>
      </c>
      <c r="AB89" s="19">
        <f>Traffic!AB$37</f>
        <v>75.066482816160033</v>
      </c>
      <c r="AC89" s="19">
        <f>Traffic!AC$37</f>
        <v>75.471785816468767</v>
      </c>
      <c r="AD89" s="19">
        <f>Traffic!AD$37</f>
        <v>75.879277150583704</v>
      </c>
      <c r="AE89" s="19">
        <f>Traffic!AE$37</f>
        <v>76.288968633874688</v>
      </c>
      <c r="AF89" s="19">
        <f>Traffic!AF$37</f>
        <v>76.700872145505741</v>
      </c>
      <c r="AG89" s="19">
        <f>Traffic!AG$37</f>
        <v>77.114999628779515</v>
      </c>
      <c r="AH89" s="19">
        <f>Traffic!AH$37</f>
        <v>77.531363091483584</v>
      </c>
      <c r="AI89" s="19">
        <f>Traffic!AI$37</f>
        <v>77.949974606238612</v>
      </c>
      <c r="AJ89" s="19">
        <f>Traffic!AJ$37</f>
        <v>78.370846310848407</v>
      </c>
      <c r="AK89" s="19">
        <f>Traffic!AK$37</f>
        <v>78.793990408651851</v>
      </c>
      <c r="AL89" s="19">
        <f>Traffic!AL$37</f>
        <v>79.219419168876783</v>
      </c>
      <c r="AM89" s="19">
        <f>Traffic!AM$37</f>
        <v>79.647144926995679</v>
      </c>
      <c r="AN89" s="19">
        <f>Traffic!AN$37</f>
        <v>80.077180085083398</v>
      </c>
      <c r="AO89" s="19">
        <f>Traffic!AO$37</f>
        <v>80.50953711217673</v>
      </c>
      <c r="AP89" s="19">
        <f>Traffic!AP$37</f>
        <v>80.944228544635962</v>
      </c>
      <c r="AQ89" s="19">
        <f>Traffic!AQ$37</f>
        <v>81.381266986508379</v>
      </c>
      <c r="AR89" s="19">
        <f>Traffic!AR$37</f>
        <v>81.820665109893724</v>
      </c>
    </row>
    <row r="90" spans="1:44" ht="15">
      <c r="A90" s="2"/>
      <c r="B90" s="1" t="s">
        <v>278</v>
      </c>
      <c r="C90" s="22" t="s">
        <v>95</v>
      </c>
      <c r="D90" s="18">
        <f>Inputs!E66</f>
        <v>0.26515151515151514</v>
      </c>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row>
    <row r="91" spans="1:44" ht="15">
      <c r="A91" s="2"/>
      <c r="B91" s="1" t="s">
        <v>269</v>
      </c>
      <c r="C91" s="22" t="s">
        <v>123</v>
      </c>
      <c r="D91" s="18">
        <f>Inputs!$E$67</f>
        <v>3.2</v>
      </c>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row>
    <row r="92" spans="1:44" ht="15">
      <c r="A92" s="2"/>
      <c r="B92" s="1" t="s">
        <v>270</v>
      </c>
      <c r="C92" s="22" t="s">
        <v>271</v>
      </c>
      <c r="D92" s="18">
        <f>D90/D91</f>
        <v>8.2859848484848481E-2</v>
      </c>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row>
    <row r="93" spans="1:44" ht="15">
      <c r="A93" s="2"/>
      <c r="B93" s="1" t="s">
        <v>272</v>
      </c>
      <c r="C93" s="22" t="s">
        <v>273</v>
      </c>
      <c r="D93" s="18"/>
      <c r="F93" s="19">
        <f>F89*$D$92</f>
        <v>5.5251225239318869</v>
      </c>
      <c r="G93" s="19">
        <f t="shared" ref="G93:AR93" si="37">G89*$D$92</f>
        <v>5.5549540632822421</v>
      </c>
      <c r="H93" s="19">
        <f t="shared" si="37"/>
        <v>5.5849466706878585</v>
      </c>
      <c r="I93" s="19">
        <f t="shared" si="37"/>
        <v>5.6151012157960629</v>
      </c>
      <c r="J93" s="19">
        <f t="shared" si="37"/>
        <v>5.6454185729496267</v>
      </c>
      <c r="K93" s="19">
        <f t="shared" si="37"/>
        <v>5.675899621212122</v>
      </c>
      <c r="L93" s="19">
        <f t="shared" si="37"/>
        <v>5.7065452443934079</v>
      </c>
      <c r="M93" s="19">
        <f t="shared" si="37"/>
        <v>5.7373563310752571</v>
      </c>
      <c r="N93" s="19">
        <f t="shared" si="37"/>
        <v>5.7683337746371208</v>
      </c>
      <c r="O93" s="19">
        <f t="shared" si="37"/>
        <v>5.7994784732820319</v>
      </c>
      <c r="P93" s="19">
        <f t="shared" si="37"/>
        <v>5.8307913300626497</v>
      </c>
      <c r="Q93" s="19">
        <f t="shared" si="37"/>
        <v>5.8622732529074462</v>
      </c>
      <c r="R93" s="19">
        <f t="shared" si="37"/>
        <v>5.893925154647027</v>
      </c>
      <c r="S93" s="19">
        <f t="shared" si="37"/>
        <v>5.9257479530406041</v>
      </c>
      <c r="T93" s="19">
        <f t="shared" si="37"/>
        <v>5.9577425708026039</v>
      </c>
      <c r="U93" s="19">
        <f t="shared" si="37"/>
        <v>5.989909935629421</v>
      </c>
      <c r="V93" s="19">
        <f t="shared" si="37"/>
        <v>6.0222509802263193</v>
      </c>
      <c r="W93" s="19">
        <f t="shared" si="37"/>
        <v>6.0547666423344761</v>
      </c>
      <c r="X93" s="19">
        <f t="shared" si="37"/>
        <v>6.0874578647581696</v>
      </c>
      <c r="Y93" s="19">
        <f t="shared" si="37"/>
        <v>6.120325595392119</v>
      </c>
      <c r="Z93" s="19">
        <f t="shared" si="37"/>
        <v>6.1533707872489671</v>
      </c>
      <c r="AA93" s="19">
        <f t="shared" si="37"/>
        <v>6.1865943984869158</v>
      </c>
      <c r="AB93" s="19">
        <f t="shared" si="37"/>
        <v>6.2199973924375023</v>
      </c>
      <c r="AC93" s="19">
        <f t="shared" si="37"/>
        <v>6.2535807376335386</v>
      </c>
      <c r="AD93" s="19">
        <f t="shared" si="37"/>
        <v>6.2873454078371909</v>
      </c>
      <c r="AE93" s="19">
        <f t="shared" si="37"/>
        <v>6.321292382068215</v>
      </c>
      <c r="AF93" s="19">
        <f t="shared" si="37"/>
        <v>6.3554226446323412</v>
      </c>
      <c r="AG93" s="19">
        <f t="shared" si="37"/>
        <v>6.3897371851498175</v>
      </c>
      <c r="AH93" s="19">
        <f t="shared" si="37"/>
        <v>6.4242369985841039</v>
      </c>
      <c r="AI93" s="19">
        <f t="shared" si="37"/>
        <v>6.458923085270718</v>
      </c>
      <c r="AJ93" s="19">
        <f t="shared" si="37"/>
        <v>6.4937964509462454</v>
      </c>
      <c r="AK93" s="19">
        <f t="shared" si="37"/>
        <v>6.5288581067774967</v>
      </c>
      <c r="AL93" s="19">
        <f t="shared" si="37"/>
        <v>6.5641090693908319</v>
      </c>
      <c r="AM93" s="19">
        <f t="shared" si="37"/>
        <v>6.5995503609016302</v>
      </c>
      <c r="AN93" s="19">
        <f t="shared" si="37"/>
        <v>6.6351830089439368</v>
      </c>
      <c r="AO93" s="19">
        <f t="shared" si="37"/>
        <v>6.6710080467002495</v>
      </c>
      <c r="AP93" s="19">
        <f t="shared" si="37"/>
        <v>6.707026512931483</v>
      </c>
      <c r="AQ93" s="19">
        <f t="shared" si="37"/>
        <v>6.743239452007086</v>
      </c>
      <c r="AR93" s="19">
        <f t="shared" si="37"/>
        <v>6.7796479139353227</v>
      </c>
    </row>
    <row r="94" spans="1:44" ht="15">
      <c r="A94" s="2"/>
      <c r="B94" s="2" t="s">
        <v>261</v>
      </c>
      <c r="C94" s="22"/>
      <c r="D94" s="18"/>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row>
    <row r="95" spans="1:44" ht="15">
      <c r="A95" s="2"/>
      <c r="B95" s="1" t="str">
        <f>Inputs!C72</f>
        <v>Walking, Cycling, Waiting, Standing, and Transfer Time</v>
      </c>
      <c r="C95" s="22" t="s">
        <v>127</v>
      </c>
      <c r="D95" s="111">
        <f>Inputs!E72</f>
        <v>34</v>
      </c>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row>
    <row r="96" spans="1:44">
      <c r="B96" s="1" t="s">
        <v>274</v>
      </c>
      <c r="C96" s="22" t="s">
        <v>275</v>
      </c>
      <c r="D96" s="86">
        <f>SUM(F96:AR96)</f>
        <v>8130.4631022396898</v>
      </c>
      <c r="F96" s="19">
        <f>F93*$D$95</f>
        <v>187.85416581368415</v>
      </c>
      <c r="G96" s="19">
        <f t="shared" ref="G96:AR96" si="38">G93*$D$95</f>
        <v>188.86843815159622</v>
      </c>
      <c r="H96" s="19">
        <f t="shared" si="38"/>
        <v>189.88818680338719</v>
      </c>
      <c r="I96" s="19">
        <f t="shared" si="38"/>
        <v>190.91344133706613</v>
      </c>
      <c r="J96" s="19">
        <f t="shared" si="38"/>
        <v>191.9442314802873</v>
      </c>
      <c r="K96" s="19">
        <f t="shared" si="38"/>
        <v>192.98058712121215</v>
      </c>
      <c r="L96" s="19">
        <f t="shared" si="38"/>
        <v>194.02253830937588</v>
      </c>
      <c r="M96" s="19">
        <f t="shared" si="38"/>
        <v>195.07011525655875</v>
      </c>
      <c r="N96" s="19">
        <f t="shared" si="38"/>
        <v>196.12334833766209</v>
      </c>
      <c r="O96" s="19">
        <f t="shared" si="38"/>
        <v>197.18226809158909</v>
      </c>
      <c r="P96" s="19">
        <f t="shared" si="38"/>
        <v>198.2469052221301</v>
      </c>
      <c r="Q96" s="19">
        <f t="shared" si="38"/>
        <v>199.31729059885316</v>
      </c>
      <c r="R96" s="19">
        <f t="shared" si="38"/>
        <v>200.39345525799891</v>
      </c>
      <c r="S96" s="19">
        <f t="shared" si="38"/>
        <v>201.47543040338053</v>
      </c>
      <c r="T96" s="19">
        <f t="shared" si="38"/>
        <v>202.56324740728854</v>
      </c>
      <c r="U96" s="19">
        <f t="shared" si="38"/>
        <v>203.65693781140033</v>
      </c>
      <c r="V96" s="19">
        <f t="shared" si="38"/>
        <v>204.75653332769485</v>
      </c>
      <c r="W96" s="19">
        <f t="shared" si="38"/>
        <v>205.86206583937218</v>
      </c>
      <c r="X96" s="19">
        <f t="shared" si="38"/>
        <v>206.97356740177776</v>
      </c>
      <c r="Y96" s="19">
        <f t="shared" si="38"/>
        <v>208.09107024333204</v>
      </c>
      <c r="Z96" s="19">
        <f t="shared" si="38"/>
        <v>209.2146067664649</v>
      </c>
      <c r="AA96" s="19">
        <f t="shared" si="38"/>
        <v>210.34420954855514</v>
      </c>
      <c r="AB96" s="19">
        <f t="shared" si="38"/>
        <v>211.47991134287508</v>
      </c>
      <c r="AC96" s="19">
        <f t="shared" si="38"/>
        <v>212.62174507954032</v>
      </c>
      <c r="AD96" s="19">
        <f t="shared" si="38"/>
        <v>213.76974386646449</v>
      </c>
      <c r="AE96" s="19">
        <f t="shared" si="38"/>
        <v>214.92394099031929</v>
      </c>
      <c r="AF96" s="19">
        <f t="shared" si="38"/>
        <v>216.0843699174996</v>
      </c>
      <c r="AG96" s="19">
        <f t="shared" si="38"/>
        <v>217.25106429509378</v>
      </c>
      <c r="AH96" s="19">
        <f t="shared" si="38"/>
        <v>218.42405795185954</v>
      </c>
      <c r="AI96" s="19">
        <f t="shared" si="38"/>
        <v>219.6033848992044</v>
      </c>
      <c r="AJ96" s="19">
        <f t="shared" si="38"/>
        <v>220.78907933217235</v>
      </c>
      <c r="AK96" s="19">
        <f t="shared" si="38"/>
        <v>221.98117563043488</v>
      </c>
      <c r="AL96" s="19">
        <f t="shared" si="38"/>
        <v>223.1797083592883</v>
      </c>
      <c r="AM96" s="19">
        <f t="shared" si="38"/>
        <v>224.38471227065543</v>
      </c>
      <c r="AN96" s="19">
        <f t="shared" si="38"/>
        <v>225.59622230409386</v>
      </c>
      <c r="AO96" s="19">
        <f t="shared" si="38"/>
        <v>226.81427358780849</v>
      </c>
      <c r="AP96" s="19">
        <f t="shared" si="38"/>
        <v>228.03890143967041</v>
      </c>
      <c r="AQ96" s="19">
        <f t="shared" si="38"/>
        <v>229.27014136824093</v>
      </c>
      <c r="AR96" s="19">
        <f t="shared" si="38"/>
        <v>230.50802907380097</v>
      </c>
    </row>
    <row r="97" spans="1:44">
      <c r="B97" s="1" t="s">
        <v>74</v>
      </c>
      <c r="C97" s="292" t="s">
        <v>75</v>
      </c>
      <c r="D97" s="86">
        <f>Inputs!$E$32</f>
        <v>365</v>
      </c>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row>
    <row r="98" spans="1:44">
      <c r="B98" s="1" t="s">
        <v>274</v>
      </c>
      <c r="C98" s="22" t="s">
        <v>267</v>
      </c>
      <c r="D98" s="86">
        <f>SUM(F98:AR98)</f>
        <v>2967619.0323174857</v>
      </c>
      <c r="F98" s="19">
        <f>F96*$D$60</f>
        <v>68566.770521994709</v>
      </c>
      <c r="G98" s="19">
        <f t="shared" ref="G98:AR98" si="39">G96*$D$60</f>
        <v>68936.97992533262</v>
      </c>
      <c r="H98" s="19">
        <f t="shared" si="39"/>
        <v>69309.188183236329</v>
      </c>
      <c r="I98" s="19">
        <f t="shared" si="39"/>
        <v>69683.406088029136</v>
      </c>
      <c r="J98" s="19">
        <f t="shared" si="39"/>
        <v>70059.644490304869</v>
      </c>
      <c r="K98" s="19">
        <f t="shared" si="39"/>
        <v>70437.914299242431</v>
      </c>
      <c r="L98" s="19">
        <f t="shared" si="39"/>
        <v>70818.226482922197</v>
      </c>
      <c r="M98" s="19">
        <f t="shared" si="39"/>
        <v>71200.592068643949</v>
      </c>
      <c r="N98" s="19">
        <f t="shared" si="39"/>
        <v>71585.022143246664</v>
      </c>
      <c r="O98" s="19">
        <f t="shared" si="39"/>
        <v>71971.527853430016</v>
      </c>
      <c r="P98" s="19">
        <f t="shared" si="39"/>
        <v>72360.120406077491</v>
      </c>
      <c r="Q98" s="19">
        <f t="shared" si="39"/>
        <v>72750.811068581403</v>
      </c>
      <c r="R98" s="19">
        <f t="shared" si="39"/>
        <v>73143.611169169599</v>
      </c>
      <c r="S98" s="19">
        <f t="shared" si="39"/>
        <v>73538.532097233896</v>
      </c>
      <c r="T98" s="19">
        <f t="shared" si="39"/>
        <v>73935.585303660322</v>
      </c>
      <c r="U98" s="19">
        <f t="shared" si="39"/>
        <v>74334.782301161118</v>
      </c>
      <c r="V98" s="19">
        <f t="shared" si="39"/>
        <v>74736.134664608617</v>
      </c>
      <c r="W98" s="19">
        <f t="shared" si="39"/>
        <v>75139.654031370839</v>
      </c>
      <c r="X98" s="19">
        <f t="shared" si="39"/>
        <v>75545.352101648881</v>
      </c>
      <c r="Y98" s="19">
        <f t="shared" si="39"/>
        <v>75953.240638816191</v>
      </c>
      <c r="Z98" s="19">
        <f t="shared" si="39"/>
        <v>76363.331469759694</v>
      </c>
      <c r="AA98" s="19">
        <f t="shared" si="39"/>
        <v>76775.636485222625</v>
      </c>
      <c r="AB98" s="19">
        <f t="shared" si="39"/>
        <v>77190.167640149404</v>
      </c>
      <c r="AC98" s="19">
        <f t="shared" si="39"/>
        <v>77606.936954032222</v>
      </c>
      <c r="AD98" s="19">
        <f t="shared" si="39"/>
        <v>78025.956511259545</v>
      </c>
      <c r="AE98" s="19">
        <f t="shared" si="39"/>
        <v>78447.23846146655</v>
      </c>
      <c r="AF98" s="19">
        <f t="shared" si="39"/>
        <v>78870.795019887359</v>
      </c>
      <c r="AG98" s="19">
        <f t="shared" si="39"/>
        <v>79296.638467709228</v>
      </c>
      <c r="AH98" s="19">
        <f t="shared" si="39"/>
        <v>79724.781152428724</v>
      </c>
      <c r="AI98" s="19">
        <f t="shared" si="39"/>
        <v>80155.235488209612</v>
      </c>
      <c r="AJ98" s="19">
        <f t="shared" si="39"/>
        <v>80588.01395624291</v>
      </c>
      <c r="AK98" s="19">
        <f t="shared" si="39"/>
        <v>81023.129105108732</v>
      </c>
      <c r="AL98" s="19">
        <f t="shared" si="39"/>
        <v>81460.593551140235</v>
      </c>
      <c r="AM98" s="19">
        <f t="shared" si="39"/>
        <v>81900.419978789228</v>
      </c>
      <c r="AN98" s="19">
        <f t="shared" si="39"/>
        <v>82342.621140994263</v>
      </c>
      <c r="AO98" s="19">
        <f t="shared" si="39"/>
        <v>82787.209859550101</v>
      </c>
      <c r="AP98" s="19">
        <f t="shared" si="39"/>
        <v>83234.199025479698</v>
      </c>
      <c r="AQ98" s="19">
        <f t="shared" si="39"/>
        <v>83683.601599407935</v>
      </c>
      <c r="AR98" s="19">
        <f t="shared" si="39"/>
        <v>84135.43061193735</v>
      </c>
    </row>
    <row r="99" spans="1:44">
      <c r="C99" s="292"/>
      <c r="D99" s="86"/>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row>
    <row r="100" spans="1:44" ht="15">
      <c r="A100" s="2" t="s">
        <v>276</v>
      </c>
      <c r="C100" s="292"/>
      <c r="D100" s="86"/>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row>
    <row r="101" spans="1:44">
      <c r="B101" s="1" t="s">
        <v>277</v>
      </c>
      <c r="C101" s="22" t="s">
        <v>267</v>
      </c>
      <c r="D101" s="86">
        <f>SUM(F101:AR101)</f>
        <v>73752201.130578354</v>
      </c>
      <c r="F101" s="19">
        <f>F86+F98</f>
        <v>68566.770521994709</v>
      </c>
      <c r="G101" s="19">
        <f t="shared" ref="G101:AR101" si="40">G86+G98</f>
        <v>68936.97992533262</v>
      </c>
      <c r="H101" s="19">
        <f t="shared" si="40"/>
        <v>69309.188183236329</v>
      </c>
      <c r="I101" s="19">
        <f t="shared" si="40"/>
        <v>69683.406088029136</v>
      </c>
      <c r="J101" s="19">
        <f t="shared" si="40"/>
        <v>70059.644490304869</v>
      </c>
      <c r="K101" s="19">
        <f t="shared" si="40"/>
        <v>746550.77429924242</v>
      </c>
      <c r="L101" s="19">
        <f t="shared" si="40"/>
        <v>832130.27517857449</v>
      </c>
      <c r="M101" s="19">
        <f t="shared" si="40"/>
        <v>917711.82945994847</v>
      </c>
      <c r="N101" s="19">
        <f t="shared" si="40"/>
        <v>1003295.4482302032</v>
      </c>
      <c r="O101" s="19">
        <f t="shared" si="40"/>
        <v>1088881.1426360388</v>
      </c>
      <c r="P101" s="19">
        <f t="shared" si="40"/>
        <v>1174468.9238843385</v>
      </c>
      <c r="Q101" s="19">
        <f t="shared" si="40"/>
        <v>1260058.8032424948</v>
      </c>
      <c r="R101" s="19">
        <f t="shared" si="40"/>
        <v>1345650.7920387352</v>
      </c>
      <c r="S101" s="19">
        <f t="shared" si="40"/>
        <v>1431244.9016624517</v>
      </c>
      <c r="T101" s="19">
        <f t="shared" si="40"/>
        <v>1516841.1435645302</v>
      </c>
      <c r="U101" s="19">
        <f t="shared" si="40"/>
        <v>1602439.5292576831</v>
      </c>
      <c r="V101" s="19">
        <f t="shared" si="40"/>
        <v>1688040.0703167829</v>
      </c>
      <c r="W101" s="19">
        <f t="shared" si="40"/>
        <v>1773642.7783791972</v>
      </c>
      <c r="X101" s="19">
        <f t="shared" si="40"/>
        <v>1859247.6651451278</v>
      </c>
      <c r="Y101" s="19">
        <f t="shared" si="40"/>
        <v>1944854.7423779471</v>
      </c>
      <c r="Z101" s="19">
        <f t="shared" si="40"/>
        <v>2030464.021904543</v>
      </c>
      <c r="AA101" s="19">
        <f t="shared" si="40"/>
        <v>2116075.5156156579</v>
      </c>
      <c r="AB101" s="19">
        <f t="shared" si="40"/>
        <v>2201689.2354662376</v>
      </c>
      <c r="AC101" s="19">
        <f t="shared" si="40"/>
        <v>2287305.1934757722</v>
      </c>
      <c r="AD101" s="19">
        <f t="shared" si="40"/>
        <v>2372923.4017286515</v>
      </c>
      <c r="AE101" s="19">
        <f t="shared" si="40"/>
        <v>2458543.8723745109</v>
      </c>
      <c r="AF101" s="19">
        <f t="shared" si="40"/>
        <v>2544166.6176285837</v>
      </c>
      <c r="AG101" s="19">
        <f t="shared" si="40"/>
        <v>2629791.6497720578</v>
      </c>
      <c r="AH101" s="19">
        <f t="shared" si="40"/>
        <v>2715418.9811524297</v>
      </c>
      <c r="AI101" s="19">
        <f t="shared" si="40"/>
        <v>2801048.6241838629</v>
      </c>
      <c r="AJ101" s="19">
        <f t="shared" si="40"/>
        <v>2886680.5913475482</v>
      </c>
      <c r="AK101" s="19">
        <f t="shared" si="40"/>
        <v>2972314.8951920667</v>
      </c>
      <c r="AL101" s="19">
        <f t="shared" si="40"/>
        <v>3057951.5483337496</v>
      </c>
      <c r="AM101" s="19">
        <f t="shared" si="40"/>
        <v>3143590.5634570504</v>
      </c>
      <c r="AN101" s="19">
        <f t="shared" si="40"/>
        <v>3229231.9533149074</v>
      </c>
      <c r="AO101" s="19">
        <f t="shared" si="40"/>
        <v>3314875.7307291147</v>
      </c>
      <c r="AP101" s="19">
        <f t="shared" si="40"/>
        <v>3400521.9085906968</v>
      </c>
      <c r="AQ101" s="19">
        <f t="shared" si="40"/>
        <v>3486170.4998602769</v>
      </c>
      <c r="AR101" s="19">
        <f t="shared" si="40"/>
        <v>3571821.5175684579</v>
      </c>
    </row>
    <row r="102" spans="1:44">
      <c r="C102" s="292"/>
      <c r="D102" s="86"/>
    </row>
    <row r="103" spans="1:44" s="9" customFormat="1">
      <c r="A103" s="8" t="s">
        <v>253</v>
      </c>
      <c r="B103" s="8"/>
      <c r="C103" s="293"/>
    </row>
    <row r="104" spans="1:44" ht="15">
      <c r="A104" s="2" t="s">
        <v>254</v>
      </c>
      <c r="C104" s="21"/>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row>
    <row r="105" spans="1:44">
      <c r="B105" s="1" t="s">
        <v>221</v>
      </c>
      <c r="C105" s="292" t="s">
        <v>80</v>
      </c>
      <c r="D105" s="86">
        <f>SUM(F105:AR105)</f>
        <v>50506992.748870619</v>
      </c>
      <c r="F105" s="19">
        <f t="shared" ref="F105:AR105" si="41">(F$64-F$101)*F$11*F15</f>
        <v>0</v>
      </c>
      <c r="G105" s="19">
        <f t="shared" si="41"/>
        <v>0</v>
      </c>
      <c r="H105" s="19">
        <f t="shared" si="41"/>
        <v>0</v>
      </c>
      <c r="I105" s="19">
        <f t="shared" si="41"/>
        <v>0</v>
      </c>
      <c r="J105" s="19">
        <f t="shared" si="41"/>
        <v>0</v>
      </c>
      <c r="K105" s="19">
        <f t="shared" si="41"/>
        <v>0</v>
      </c>
      <c r="L105" s="19">
        <f t="shared" si="41"/>
        <v>0</v>
      </c>
      <c r="M105" s="19">
        <f t="shared" si="41"/>
        <v>0</v>
      </c>
      <c r="N105" s="19">
        <f t="shared" si="41"/>
        <v>0</v>
      </c>
      <c r="O105" s="19">
        <f t="shared" si="41"/>
        <v>1685808.8158717281</v>
      </c>
      <c r="P105" s="19">
        <f t="shared" si="41"/>
        <v>1774004.9320536985</v>
      </c>
      <c r="Q105" s="19">
        <f t="shared" si="41"/>
        <v>1862229.8103245003</v>
      </c>
      <c r="R105" s="19">
        <f t="shared" si="41"/>
        <v>1950483.605977955</v>
      </c>
      <c r="S105" s="19">
        <f t="shared" si="41"/>
        <v>2038766.4751463532</v>
      </c>
      <c r="T105" s="19">
        <f t="shared" si="41"/>
        <v>2127078.5748049845</v>
      </c>
      <c r="U105" s="19">
        <f t="shared" si="41"/>
        <v>2215420.0627766866</v>
      </c>
      <c r="V105" s="19">
        <f t="shared" si="41"/>
        <v>2303791.0977364238</v>
      </c>
      <c r="W105" s="19">
        <f t="shared" si="41"/>
        <v>2392191.8392158868</v>
      </c>
      <c r="X105" s="19">
        <f t="shared" si="41"/>
        <v>2480622.4476081179</v>
      </c>
      <c r="Y105" s="19">
        <f t="shared" si="41"/>
        <v>2569083.0841721641</v>
      </c>
      <c r="Z105" s="19">
        <f t="shared" si="41"/>
        <v>2657573.9110377459</v>
      </c>
      <c r="AA105" s="19">
        <f t="shared" si="41"/>
        <v>2746095.0912099695</v>
      </c>
      <c r="AB105" s="19">
        <f t="shared" si="41"/>
        <v>2834646.7885740423</v>
      </c>
      <c r="AC105" s="19">
        <f t="shared" si="41"/>
        <v>2923229.1679000338</v>
      </c>
      <c r="AD105" s="19">
        <f t="shared" si="41"/>
        <v>3011842.3948476445</v>
      </c>
      <c r="AE105" s="19">
        <f t="shared" si="41"/>
        <v>3100486.6359710167</v>
      </c>
      <c r="AF105" s="19">
        <f t="shared" si="41"/>
        <v>3189162.0587235596</v>
      </c>
      <c r="AG105" s="19">
        <f t="shared" si="41"/>
        <v>3277868.8314628066</v>
      </c>
      <c r="AH105" s="19">
        <f t="shared" si="41"/>
        <v>3366607.1234552949</v>
      </c>
      <c r="AI105" s="19">
        <f t="shared" si="41"/>
        <v>0</v>
      </c>
      <c r="AJ105" s="19">
        <f t="shared" si="41"/>
        <v>0</v>
      </c>
      <c r="AK105" s="19">
        <f t="shared" si="41"/>
        <v>0</v>
      </c>
      <c r="AL105" s="19">
        <f t="shared" si="41"/>
        <v>0</v>
      </c>
      <c r="AM105" s="19">
        <f t="shared" si="41"/>
        <v>0</v>
      </c>
      <c r="AN105" s="19">
        <f t="shared" si="41"/>
        <v>0</v>
      </c>
      <c r="AO105" s="19">
        <f t="shared" si="41"/>
        <v>0</v>
      </c>
      <c r="AP105" s="19">
        <f t="shared" si="41"/>
        <v>0</v>
      </c>
      <c r="AQ105" s="19">
        <f t="shared" si="41"/>
        <v>0</v>
      </c>
      <c r="AR105" s="19">
        <f t="shared" si="41"/>
        <v>0</v>
      </c>
    </row>
    <row r="106" spans="1:44">
      <c r="B106" s="1" t="s">
        <v>222</v>
      </c>
      <c r="C106" s="292" t="s">
        <v>80</v>
      </c>
      <c r="D106" s="86">
        <f>SUM(F106:AR106)</f>
        <v>31299677.067725413</v>
      </c>
      <c r="F106" s="19">
        <f t="shared" ref="F106:AR106" si="42">(F$64-F$101)*F$11*F16</f>
        <v>0</v>
      </c>
      <c r="G106" s="19">
        <f t="shared" si="42"/>
        <v>0</v>
      </c>
      <c r="H106" s="19">
        <f t="shared" si="42"/>
        <v>0</v>
      </c>
      <c r="I106" s="19">
        <f t="shared" si="42"/>
        <v>0</v>
      </c>
      <c r="J106" s="19">
        <f t="shared" si="42"/>
        <v>0</v>
      </c>
      <c r="K106" s="19">
        <f t="shared" si="42"/>
        <v>0</v>
      </c>
      <c r="L106" s="19">
        <f t="shared" si="42"/>
        <v>0</v>
      </c>
      <c r="M106" s="19">
        <f t="shared" si="42"/>
        <v>0</v>
      </c>
      <c r="N106" s="19">
        <f t="shared" si="42"/>
        <v>0</v>
      </c>
      <c r="O106" s="19">
        <f t="shared" si="42"/>
        <v>1411838.3430710859</v>
      </c>
      <c r="P106" s="19">
        <f t="shared" si="42"/>
        <v>1442428.3513341052</v>
      </c>
      <c r="Q106" s="19">
        <f t="shared" si="42"/>
        <v>1470061.4086848495</v>
      </c>
      <c r="R106" s="19">
        <f t="shared" si="42"/>
        <v>1494883.2717834387</v>
      </c>
      <c r="S106" s="19">
        <f t="shared" si="42"/>
        <v>1517033.7280518468</v>
      </c>
      <c r="T106" s="19">
        <f t="shared" si="42"/>
        <v>1536646.8194364929</v>
      </c>
      <c r="U106" s="19">
        <f t="shared" si="42"/>
        <v>1553851.0582074218</v>
      </c>
      <c r="V106" s="19">
        <f t="shared" si="42"/>
        <v>1568769.6350679721</v>
      </c>
      <c r="W106" s="19">
        <f t="shared" si="42"/>
        <v>1581520.6198396143</v>
      </c>
      <c r="X106" s="19">
        <f t="shared" si="42"/>
        <v>1592217.1549777589</v>
      </c>
      <c r="Y106" s="19">
        <f t="shared" si="42"/>
        <v>1600967.6421657389</v>
      </c>
      <c r="Z106" s="19">
        <f t="shared" si="42"/>
        <v>1607875.9222258453</v>
      </c>
      <c r="AA106" s="19">
        <f t="shared" si="42"/>
        <v>1613041.4485782802</v>
      </c>
      <c r="AB106" s="19">
        <f t="shared" si="42"/>
        <v>1616559.4544710733</v>
      </c>
      <c r="AC106" s="19">
        <f t="shared" si="42"/>
        <v>1618521.1141965436</v>
      </c>
      <c r="AD106" s="19">
        <f t="shared" si="42"/>
        <v>1619013.6985025697</v>
      </c>
      <c r="AE106" s="19">
        <f t="shared" si="42"/>
        <v>1618120.7243999485</v>
      </c>
      <c r="AF106" s="19">
        <f t="shared" si="42"/>
        <v>1615922.099560285</v>
      </c>
      <c r="AG106" s="19">
        <f t="shared" si="42"/>
        <v>1612494.2614923201</v>
      </c>
      <c r="AH106" s="19">
        <f t="shared" si="42"/>
        <v>1607910.3116782245</v>
      </c>
      <c r="AI106" s="19">
        <f t="shared" si="42"/>
        <v>0</v>
      </c>
      <c r="AJ106" s="19">
        <f t="shared" si="42"/>
        <v>0</v>
      </c>
      <c r="AK106" s="19">
        <f t="shared" si="42"/>
        <v>0</v>
      </c>
      <c r="AL106" s="19">
        <f t="shared" si="42"/>
        <v>0</v>
      </c>
      <c r="AM106" s="19">
        <f t="shared" si="42"/>
        <v>0</v>
      </c>
      <c r="AN106" s="19">
        <f t="shared" si="42"/>
        <v>0</v>
      </c>
      <c r="AO106" s="19">
        <f t="shared" si="42"/>
        <v>0</v>
      </c>
      <c r="AP106" s="19">
        <f t="shared" si="42"/>
        <v>0</v>
      </c>
      <c r="AQ106" s="19">
        <f t="shared" si="42"/>
        <v>0</v>
      </c>
      <c r="AR106" s="19">
        <f t="shared" si="42"/>
        <v>0</v>
      </c>
    </row>
    <row r="107" spans="1:44">
      <c r="B107" s="1" t="s">
        <v>223</v>
      </c>
      <c r="C107" s="292" t="s">
        <v>80</v>
      </c>
      <c r="D107" s="86">
        <f>SUM(F107:AR107)</f>
        <v>17616038.034647703</v>
      </c>
      <c r="F107" s="19">
        <f t="shared" ref="F107:AR107" si="43">(F$64-F$101)*F$11*F17</f>
        <v>0</v>
      </c>
      <c r="G107" s="19">
        <f t="shared" si="43"/>
        <v>0</v>
      </c>
      <c r="H107" s="19">
        <f t="shared" si="43"/>
        <v>0</v>
      </c>
      <c r="I107" s="19">
        <f t="shared" si="43"/>
        <v>0</v>
      </c>
      <c r="J107" s="19">
        <f t="shared" si="43"/>
        <v>0</v>
      </c>
      <c r="K107" s="19">
        <f t="shared" si="43"/>
        <v>0</v>
      </c>
      <c r="L107" s="19">
        <f t="shared" si="43"/>
        <v>0</v>
      </c>
      <c r="M107" s="19">
        <f t="shared" si="43"/>
        <v>0</v>
      </c>
      <c r="N107" s="19">
        <f t="shared" si="43"/>
        <v>0</v>
      </c>
      <c r="O107" s="19">
        <f t="shared" si="43"/>
        <v>1123325.595297449</v>
      </c>
      <c r="P107" s="19">
        <f t="shared" si="43"/>
        <v>1104761.1135384322</v>
      </c>
      <c r="Q107" s="19">
        <f t="shared" si="43"/>
        <v>1083834.7044012838</v>
      </c>
      <c r="R107" s="19">
        <f t="shared" si="43"/>
        <v>1060933.8476486139</v>
      </c>
      <c r="S107" s="19">
        <f t="shared" si="43"/>
        <v>1036405.4944686424</v>
      </c>
      <c r="T107" s="19">
        <f t="shared" si="43"/>
        <v>1010559.7082402225</v>
      </c>
      <c r="U107" s="19">
        <f t="shared" si="43"/>
        <v>983673.00261470932</v>
      </c>
      <c r="V107" s="19">
        <f t="shared" si="43"/>
        <v>955991.40092272311</v>
      </c>
      <c r="W107" s="19">
        <f t="shared" si="43"/>
        <v>927733.23906886531</v>
      </c>
      <c r="X107" s="19">
        <f t="shared" si="43"/>
        <v>899091.73237105028</v>
      </c>
      <c r="Y107" s="19">
        <f t="shared" si="43"/>
        <v>870237.32522310119</v>
      </c>
      <c r="Z107" s="19">
        <f t="shared" si="43"/>
        <v>841319.84100009582</v>
      </c>
      <c r="AA107" s="19">
        <f t="shared" si="43"/>
        <v>812470.44827689813</v>
      </c>
      <c r="AB107" s="19">
        <f t="shared" si="43"/>
        <v>783803.45818313805</v>
      </c>
      <c r="AC107" s="19">
        <f t="shared" si="43"/>
        <v>755417.96656514192</v>
      </c>
      <c r="AD107" s="19">
        <f t="shared" si="43"/>
        <v>727399.35355987144</v>
      </c>
      <c r="AE107" s="19">
        <f t="shared" si="43"/>
        <v>699820.65220137697</v>
      </c>
      <c r="AF107" s="19">
        <f t="shared" si="43"/>
        <v>672743.79677053518</v>
      </c>
      <c r="AG107" s="19">
        <f t="shared" si="43"/>
        <v>646220.76075840322</v>
      </c>
      <c r="AH107" s="19">
        <f t="shared" si="43"/>
        <v>620294.59353715088</v>
      </c>
      <c r="AI107" s="19">
        <f t="shared" si="43"/>
        <v>0</v>
      </c>
      <c r="AJ107" s="19">
        <f t="shared" si="43"/>
        <v>0</v>
      </c>
      <c r="AK107" s="19">
        <f t="shared" si="43"/>
        <v>0</v>
      </c>
      <c r="AL107" s="19">
        <f t="shared" si="43"/>
        <v>0</v>
      </c>
      <c r="AM107" s="19">
        <f t="shared" si="43"/>
        <v>0</v>
      </c>
      <c r="AN107" s="19">
        <f t="shared" si="43"/>
        <v>0</v>
      </c>
      <c r="AO107" s="19">
        <f t="shared" si="43"/>
        <v>0</v>
      </c>
      <c r="AP107" s="19">
        <f t="shared" si="43"/>
        <v>0</v>
      </c>
      <c r="AQ107" s="19">
        <f t="shared" si="43"/>
        <v>0</v>
      </c>
      <c r="AR107" s="19">
        <f t="shared" si="43"/>
        <v>0</v>
      </c>
    </row>
    <row r="108" spans="1:44">
      <c r="C108" s="87"/>
      <c r="D108" s="86"/>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BF42E-ADCC-4A1F-BD9D-262CFA48CCE9}">
  <sheetPr>
    <tabColor theme="9"/>
  </sheetPr>
  <dimension ref="A1:AS101"/>
  <sheetViews>
    <sheetView workbookViewId="0">
      <pane xSplit="4" ySplit="7" topLeftCell="E8" activePane="bottomRight" state="frozen"/>
      <selection pane="bottomRight" activeCell="A2" sqref="A2"/>
      <selection pane="bottomLeft" activeCell="A8" sqref="A8"/>
      <selection pane="topRight" activeCell="E1" sqref="E1"/>
    </sheetView>
  </sheetViews>
  <sheetFormatPr defaultColWidth="0" defaultRowHeight="14.25"/>
  <cols>
    <col min="1" max="1" width="10" style="1" customWidth="1"/>
    <col min="2" max="2" width="32.5703125" style="1" bestFit="1" customWidth="1"/>
    <col min="3" max="3" width="22.28515625" style="1" bestFit="1" customWidth="1"/>
    <col min="4" max="4" width="15.140625" style="1" bestFit="1" customWidth="1"/>
    <col min="5" max="5" width="1.5703125" style="1" customWidth="1"/>
    <col min="6" max="44" width="14.42578125" style="1" customWidth="1"/>
    <col min="45" max="45" width="9.140625" style="1" customWidth="1"/>
    <col min="46" max="16384" width="9.140625" style="1" hidden="1"/>
  </cols>
  <sheetData>
    <row r="1" spans="1:44" ht="19.5">
      <c r="A1" s="7" t="str">
        <f>Summary!$A$1</f>
        <v>Multimodal Improvements to Safely Connect Tulsa at US-75 and 81st Street Interchange</v>
      </c>
    </row>
    <row r="2" spans="1:44" ht="19.5">
      <c r="A2" s="7" t="s">
        <v>279</v>
      </c>
      <c r="C2" s="12"/>
    </row>
    <row r="3" spans="1:44">
      <c r="A3" s="55">
        <f ca="1">Summary!A3</f>
        <v>44984</v>
      </c>
      <c r="C3" s="12"/>
    </row>
    <row r="4" spans="1:44">
      <c r="A4" s="56" t="str">
        <f>Summary!A4</f>
        <v>All $ values 2021, unless otherwise noted</v>
      </c>
      <c r="C4" s="12"/>
    </row>
    <row r="5" spans="1:44">
      <c r="B5" s="70"/>
      <c r="C5" s="12"/>
    </row>
    <row r="6" spans="1:44">
      <c r="C6" s="1" t="s">
        <v>43</v>
      </c>
      <c r="D6" s="1" t="s">
        <v>44</v>
      </c>
    </row>
    <row r="7" spans="1:44" s="9" customFormat="1">
      <c r="A7" s="9" t="s">
        <v>204</v>
      </c>
      <c r="C7" s="13" t="s">
        <v>204</v>
      </c>
      <c r="F7" s="9">
        <f>Inputs!$E$12</f>
        <v>2018</v>
      </c>
      <c r="G7" s="9">
        <f>F7+1</f>
        <v>2019</v>
      </c>
      <c r="H7" s="9">
        <f t="shared" ref="H7:W8" si="0">G7+1</f>
        <v>2020</v>
      </c>
      <c r="I7" s="9">
        <f t="shared" si="0"/>
        <v>2021</v>
      </c>
      <c r="J7" s="9">
        <f t="shared" si="0"/>
        <v>2022</v>
      </c>
      <c r="K7" s="9">
        <f t="shared" si="0"/>
        <v>2023</v>
      </c>
      <c r="L7" s="9">
        <f t="shared" si="0"/>
        <v>2024</v>
      </c>
      <c r="M7" s="9">
        <f t="shared" si="0"/>
        <v>2025</v>
      </c>
      <c r="N7" s="9">
        <f t="shared" si="0"/>
        <v>2026</v>
      </c>
      <c r="O7" s="9">
        <f t="shared" si="0"/>
        <v>2027</v>
      </c>
      <c r="P7" s="9">
        <f t="shared" si="0"/>
        <v>2028</v>
      </c>
      <c r="Q7" s="9">
        <f t="shared" si="0"/>
        <v>2029</v>
      </c>
      <c r="R7" s="9">
        <f t="shared" si="0"/>
        <v>2030</v>
      </c>
      <c r="S7" s="9">
        <f t="shared" si="0"/>
        <v>2031</v>
      </c>
      <c r="T7" s="9">
        <f t="shared" si="0"/>
        <v>2032</v>
      </c>
      <c r="U7" s="9">
        <f t="shared" si="0"/>
        <v>2033</v>
      </c>
      <c r="V7" s="9">
        <f t="shared" si="0"/>
        <v>2034</v>
      </c>
      <c r="W7" s="9">
        <f t="shared" si="0"/>
        <v>2035</v>
      </c>
      <c r="X7" s="9">
        <f t="shared" ref="X7:AM8" si="1">W7+1</f>
        <v>2036</v>
      </c>
      <c r="Y7" s="9">
        <f t="shared" si="1"/>
        <v>2037</v>
      </c>
      <c r="Z7" s="9">
        <f t="shared" si="1"/>
        <v>2038</v>
      </c>
      <c r="AA7" s="9">
        <f t="shared" si="1"/>
        <v>2039</v>
      </c>
      <c r="AB7" s="9">
        <f t="shared" si="1"/>
        <v>2040</v>
      </c>
      <c r="AC7" s="9">
        <f t="shared" si="1"/>
        <v>2041</v>
      </c>
      <c r="AD7" s="9">
        <f t="shared" si="1"/>
        <v>2042</v>
      </c>
      <c r="AE7" s="9">
        <f t="shared" si="1"/>
        <v>2043</v>
      </c>
      <c r="AF7" s="9">
        <f t="shared" si="1"/>
        <v>2044</v>
      </c>
      <c r="AG7" s="9">
        <f t="shared" si="1"/>
        <v>2045</v>
      </c>
      <c r="AH7" s="9">
        <f t="shared" si="1"/>
        <v>2046</v>
      </c>
      <c r="AI7" s="9">
        <f t="shared" si="1"/>
        <v>2047</v>
      </c>
      <c r="AJ7" s="9">
        <f t="shared" si="1"/>
        <v>2048</v>
      </c>
      <c r="AK7" s="9">
        <f t="shared" si="1"/>
        <v>2049</v>
      </c>
      <c r="AL7" s="9">
        <f t="shared" si="1"/>
        <v>2050</v>
      </c>
      <c r="AM7" s="9">
        <f t="shared" si="1"/>
        <v>2051</v>
      </c>
      <c r="AN7" s="9">
        <f t="shared" ref="AN7:AR8" si="2">AM7+1</f>
        <v>2052</v>
      </c>
      <c r="AO7" s="9">
        <f t="shared" si="2"/>
        <v>2053</v>
      </c>
      <c r="AP7" s="9">
        <f t="shared" si="2"/>
        <v>2054</v>
      </c>
      <c r="AQ7" s="9">
        <f t="shared" si="2"/>
        <v>2055</v>
      </c>
      <c r="AR7" s="9">
        <f t="shared" si="2"/>
        <v>2056</v>
      </c>
    </row>
    <row r="8" spans="1:44">
      <c r="B8" s="1" t="s">
        <v>205</v>
      </c>
      <c r="C8" s="12" t="s">
        <v>49</v>
      </c>
      <c r="F8" s="1">
        <f>D8+1</f>
        <v>1</v>
      </c>
      <c r="G8" s="1">
        <f t="shared" ref="G8" si="3">F8+1</f>
        <v>2</v>
      </c>
      <c r="H8" s="1">
        <f t="shared" si="0"/>
        <v>3</v>
      </c>
      <c r="I8" s="1">
        <f t="shared" si="0"/>
        <v>4</v>
      </c>
      <c r="J8" s="1">
        <f t="shared" si="0"/>
        <v>5</v>
      </c>
      <c r="K8" s="1">
        <f t="shared" si="0"/>
        <v>6</v>
      </c>
      <c r="L8" s="1">
        <f t="shared" si="0"/>
        <v>7</v>
      </c>
      <c r="M8" s="1">
        <f t="shared" si="0"/>
        <v>8</v>
      </c>
      <c r="N8" s="1">
        <f t="shared" si="0"/>
        <v>9</v>
      </c>
      <c r="O8" s="1">
        <f t="shared" si="0"/>
        <v>10</v>
      </c>
      <c r="P8" s="1">
        <f t="shared" si="0"/>
        <v>11</v>
      </c>
      <c r="Q8" s="1">
        <f t="shared" si="0"/>
        <v>12</v>
      </c>
      <c r="R8" s="1">
        <f t="shared" si="0"/>
        <v>13</v>
      </c>
      <c r="S8" s="1">
        <f t="shared" si="0"/>
        <v>14</v>
      </c>
      <c r="T8" s="1">
        <f t="shared" si="0"/>
        <v>15</v>
      </c>
      <c r="U8" s="1">
        <f t="shared" si="0"/>
        <v>16</v>
      </c>
      <c r="V8" s="1">
        <f t="shared" si="0"/>
        <v>17</v>
      </c>
      <c r="W8" s="1">
        <f t="shared" si="0"/>
        <v>18</v>
      </c>
      <c r="X8" s="1">
        <f t="shared" si="1"/>
        <v>19</v>
      </c>
      <c r="Y8" s="1">
        <f t="shared" si="1"/>
        <v>20</v>
      </c>
      <c r="Z8" s="1">
        <f t="shared" si="1"/>
        <v>21</v>
      </c>
      <c r="AA8" s="1">
        <f t="shared" si="1"/>
        <v>22</v>
      </c>
      <c r="AB8" s="1">
        <f t="shared" si="1"/>
        <v>23</v>
      </c>
      <c r="AC8" s="1">
        <f t="shared" si="1"/>
        <v>24</v>
      </c>
      <c r="AD8" s="1">
        <f t="shared" si="1"/>
        <v>25</v>
      </c>
      <c r="AE8" s="1">
        <f t="shared" si="1"/>
        <v>26</v>
      </c>
      <c r="AF8" s="1">
        <f t="shared" si="1"/>
        <v>27</v>
      </c>
      <c r="AG8" s="1">
        <f t="shared" si="1"/>
        <v>28</v>
      </c>
      <c r="AH8" s="1">
        <f t="shared" si="1"/>
        <v>29</v>
      </c>
      <c r="AI8" s="1">
        <f t="shared" si="1"/>
        <v>30</v>
      </c>
      <c r="AJ8" s="1">
        <f t="shared" si="1"/>
        <v>31</v>
      </c>
      <c r="AK8" s="1">
        <f t="shared" si="1"/>
        <v>32</v>
      </c>
      <c r="AL8" s="1">
        <f t="shared" si="1"/>
        <v>33</v>
      </c>
      <c r="AM8" s="1">
        <f t="shared" si="1"/>
        <v>34</v>
      </c>
      <c r="AN8" s="1">
        <f t="shared" si="2"/>
        <v>35</v>
      </c>
      <c r="AO8" s="1">
        <f t="shared" si="2"/>
        <v>36</v>
      </c>
      <c r="AP8" s="1">
        <f t="shared" si="2"/>
        <v>37</v>
      </c>
      <c r="AQ8" s="1">
        <f t="shared" si="2"/>
        <v>38</v>
      </c>
      <c r="AR8" s="1">
        <f t="shared" si="2"/>
        <v>39</v>
      </c>
    </row>
    <row r="9" spans="1:44">
      <c r="B9" s="1" t="s">
        <v>206</v>
      </c>
      <c r="C9" s="12" t="s">
        <v>207</v>
      </c>
      <c r="F9" s="1">
        <f>IF(F7=Inputs!$E$13,1,0)</f>
        <v>0</v>
      </c>
      <c r="G9" s="1">
        <f>IF(G7=Inputs!$E$13,1,0)</f>
        <v>0</v>
      </c>
      <c r="H9" s="1">
        <f>IF(H7=Inputs!$E$13,1,0)</f>
        <v>0</v>
      </c>
      <c r="I9" s="1">
        <f>IF(I7=Inputs!$E$13,1,0)</f>
        <v>1</v>
      </c>
      <c r="J9" s="1">
        <f>IF(J7=Inputs!$E$13,1,0)</f>
        <v>0</v>
      </c>
      <c r="K9" s="1">
        <f>IF(K7=Inputs!$E$13,1,0)</f>
        <v>0</v>
      </c>
      <c r="L9" s="1">
        <f>IF(L7=Inputs!$E$13,1,0)</f>
        <v>0</v>
      </c>
      <c r="M9" s="1">
        <f>IF(M7=Inputs!$E$13,1,0)</f>
        <v>0</v>
      </c>
      <c r="N9" s="1">
        <f>IF(N7=Inputs!$E$13,1,0)</f>
        <v>0</v>
      </c>
      <c r="O9" s="1">
        <f>IF(O7=Inputs!$E$13,1,0)</f>
        <v>0</v>
      </c>
      <c r="P9" s="1">
        <f>IF(P7=Inputs!$E$13,1,0)</f>
        <v>0</v>
      </c>
      <c r="Q9" s="1">
        <f>IF(Q7=Inputs!$E$13,1,0)</f>
        <v>0</v>
      </c>
      <c r="R9" s="1">
        <f>IF(R7=Inputs!$E$13,1,0)</f>
        <v>0</v>
      </c>
      <c r="S9" s="1">
        <f>IF(S7=Inputs!$E$13,1,0)</f>
        <v>0</v>
      </c>
      <c r="T9" s="1">
        <f>IF(T7=Inputs!$E$13,1,0)</f>
        <v>0</v>
      </c>
      <c r="U9" s="1">
        <f>IF(U7=Inputs!$E$13,1,0)</f>
        <v>0</v>
      </c>
      <c r="V9" s="1">
        <f>IF(V7=Inputs!$E$13,1,0)</f>
        <v>0</v>
      </c>
      <c r="W9" s="1">
        <f>IF(W7=Inputs!$E$13,1,0)</f>
        <v>0</v>
      </c>
      <c r="X9" s="1">
        <f>IF(X7=Inputs!$E$13,1,0)</f>
        <v>0</v>
      </c>
      <c r="Y9" s="1">
        <f>IF(Y7=Inputs!$E$13,1,0)</f>
        <v>0</v>
      </c>
      <c r="Z9" s="1">
        <f>IF(Z7=Inputs!$E$13,1,0)</f>
        <v>0</v>
      </c>
      <c r="AA9" s="1">
        <f>IF(AA7=Inputs!$E$13,1,0)</f>
        <v>0</v>
      </c>
      <c r="AB9" s="1">
        <f>IF(AB7=Inputs!$E$13,1,0)</f>
        <v>0</v>
      </c>
      <c r="AC9" s="1">
        <f>IF(AC7=Inputs!$E$13,1,0)</f>
        <v>0</v>
      </c>
      <c r="AD9" s="1">
        <f>IF(AD7=Inputs!$E$13,1,0)</f>
        <v>0</v>
      </c>
      <c r="AE9" s="1">
        <f>IF(AE7=Inputs!$E$13,1,0)</f>
        <v>0</v>
      </c>
      <c r="AF9" s="1">
        <f>IF(AF7=Inputs!$E$13,1,0)</f>
        <v>0</v>
      </c>
      <c r="AG9" s="1">
        <f>IF(AG7=Inputs!$E$13,1,0)</f>
        <v>0</v>
      </c>
      <c r="AH9" s="1">
        <f>IF(AH7=Inputs!$E$13,1,0)</f>
        <v>0</v>
      </c>
      <c r="AI9" s="1">
        <f>IF(AI7=Inputs!$E$13,1,0)</f>
        <v>0</v>
      </c>
      <c r="AJ9" s="1">
        <f>IF(AJ7=Inputs!$E$13,1,0)</f>
        <v>0</v>
      </c>
      <c r="AK9" s="1">
        <f>IF(AK7=Inputs!$E$13,1,0)</f>
        <v>0</v>
      </c>
      <c r="AL9" s="1">
        <f>IF(AL7=Inputs!$E$13,1,0)</f>
        <v>0</v>
      </c>
      <c r="AM9" s="1">
        <f>IF(AM7=Inputs!$E$13,1,0)</f>
        <v>0</v>
      </c>
      <c r="AN9" s="1">
        <f>IF(AN7=Inputs!$E$13,1,0)</f>
        <v>0</v>
      </c>
      <c r="AO9" s="1">
        <f>IF(AO7=Inputs!$E$13,1,0)</f>
        <v>0</v>
      </c>
      <c r="AP9" s="1">
        <f>IF(AP7=Inputs!$E$13,1,0)</f>
        <v>0</v>
      </c>
      <c r="AQ9" s="1">
        <f>IF(AQ7=Inputs!$E$13,1,0)</f>
        <v>0</v>
      </c>
      <c r="AR9" s="1">
        <f>IF(AR7=Inputs!$E$13,1,0)</f>
        <v>0</v>
      </c>
    </row>
    <row r="10" spans="1:44">
      <c r="B10" s="1" t="s">
        <v>208</v>
      </c>
      <c r="C10" s="12" t="s">
        <v>56</v>
      </c>
      <c r="F10" s="1">
        <f t="shared" ref="F10:H10" si="4">F7-$I$7+1</f>
        <v>-2</v>
      </c>
      <c r="G10" s="1">
        <f t="shared" si="4"/>
        <v>-1</v>
      </c>
      <c r="H10" s="1">
        <f t="shared" si="4"/>
        <v>0</v>
      </c>
      <c r="I10" s="1">
        <f>I7-$I$7+1</f>
        <v>1</v>
      </c>
      <c r="J10" s="1">
        <f t="shared" ref="J10:AR10" si="5">J7-$I$7+1</f>
        <v>2</v>
      </c>
      <c r="K10" s="1">
        <f t="shared" si="5"/>
        <v>3</v>
      </c>
      <c r="L10" s="1">
        <f t="shared" si="5"/>
        <v>4</v>
      </c>
      <c r="M10" s="1">
        <f t="shared" si="5"/>
        <v>5</v>
      </c>
      <c r="N10" s="1">
        <f t="shared" si="5"/>
        <v>6</v>
      </c>
      <c r="O10" s="1">
        <f t="shared" si="5"/>
        <v>7</v>
      </c>
      <c r="P10" s="1">
        <f t="shared" si="5"/>
        <v>8</v>
      </c>
      <c r="Q10" s="1">
        <f t="shared" si="5"/>
        <v>9</v>
      </c>
      <c r="R10" s="1">
        <f t="shared" si="5"/>
        <v>10</v>
      </c>
      <c r="S10" s="1">
        <f t="shared" si="5"/>
        <v>11</v>
      </c>
      <c r="T10" s="1">
        <f t="shared" si="5"/>
        <v>12</v>
      </c>
      <c r="U10" s="1">
        <f t="shared" si="5"/>
        <v>13</v>
      </c>
      <c r="V10" s="1">
        <f t="shared" si="5"/>
        <v>14</v>
      </c>
      <c r="W10" s="1">
        <f t="shared" si="5"/>
        <v>15</v>
      </c>
      <c r="X10" s="1">
        <f t="shared" si="5"/>
        <v>16</v>
      </c>
      <c r="Y10" s="1">
        <f t="shared" si="5"/>
        <v>17</v>
      </c>
      <c r="Z10" s="1">
        <f t="shared" si="5"/>
        <v>18</v>
      </c>
      <c r="AA10" s="1">
        <f t="shared" si="5"/>
        <v>19</v>
      </c>
      <c r="AB10" s="1">
        <f t="shared" si="5"/>
        <v>20</v>
      </c>
      <c r="AC10" s="1">
        <f t="shared" si="5"/>
        <v>21</v>
      </c>
      <c r="AD10" s="1">
        <f t="shared" si="5"/>
        <v>22</v>
      </c>
      <c r="AE10" s="1">
        <f t="shared" si="5"/>
        <v>23</v>
      </c>
      <c r="AF10" s="1">
        <f t="shared" si="5"/>
        <v>24</v>
      </c>
      <c r="AG10" s="1">
        <f t="shared" si="5"/>
        <v>25</v>
      </c>
      <c r="AH10" s="1">
        <f t="shared" si="5"/>
        <v>26</v>
      </c>
      <c r="AI10" s="1">
        <f t="shared" si="5"/>
        <v>27</v>
      </c>
      <c r="AJ10" s="1">
        <f t="shared" si="5"/>
        <v>28</v>
      </c>
      <c r="AK10" s="1">
        <f t="shared" si="5"/>
        <v>29</v>
      </c>
      <c r="AL10" s="1">
        <f t="shared" si="5"/>
        <v>30</v>
      </c>
      <c r="AM10" s="1">
        <f t="shared" si="5"/>
        <v>31</v>
      </c>
      <c r="AN10" s="1">
        <f t="shared" si="5"/>
        <v>32</v>
      </c>
      <c r="AO10" s="1">
        <f t="shared" si="5"/>
        <v>33</v>
      </c>
      <c r="AP10" s="1">
        <f t="shared" si="5"/>
        <v>34</v>
      </c>
      <c r="AQ10" s="1">
        <f t="shared" si="5"/>
        <v>35</v>
      </c>
      <c r="AR10" s="1">
        <f t="shared" si="5"/>
        <v>36</v>
      </c>
    </row>
    <row r="11" spans="1:44">
      <c r="B11" s="1" t="s">
        <v>209</v>
      </c>
      <c r="C11" s="12" t="s">
        <v>207</v>
      </c>
      <c r="F11" s="1">
        <f>IF(AND(F7&gt;=Inputs!$E$17,F7&lt;Inputs!$E$21),1,0)</f>
        <v>0</v>
      </c>
      <c r="G11" s="1">
        <f>IF(AND(G7&gt;=Inputs!$E$17,G7&lt;Inputs!$E$21),1,0)</f>
        <v>0</v>
      </c>
      <c r="H11" s="1">
        <f>IF(AND(H7&gt;=Inputs!$E$17,H7&lt;Inputs!$E$21),1,0)</f>
        <v>0</v>
      </c>
      <c r="I11" s="1">
        <f>IF(AND(I7&gt;=Inputs!$E$17,I7&lt;Inputs!$E$21),1,0)</f>
        <v>0</v>
      </c>
      <c r="J11" s="1">
        <f>IF(AND(J7&gt;=Inputs!$E$17,J7&lt;Inputs!$E$21),1,0)</f>
        <v>0</v>
      </c>
      <c r="K11" s="1">
        <f>IF(AND(K7&gt;=Inputs!$E$17,K7&lt;Inputs!$E$21),1,0)</f>
        <v>0</v>
      </c>
      <c r="L11" s="1">
        <f>IF(AND(L7&gt;=Inputs!$E$17,L7&lt;Inputs!$E$21),1,0)</f>
        <v>0</v>
      </c>
      <c r="M11" s="1">
        <f>IF(AND(M7&gt;=Inputs!$E$17,M7&lt;Inputs!$E$21),1,0)</f>
        <v>0</v>
      </c>
      <c r="N11" s="1">
        <f>IF(AND(N7&gt;=Inputs!$E$17,N7&lt;Inputs!$E$21),1,0)</f>
        <v>0</v>
      </c>
      <c r="O11" s="1">
        <f>IF(AND(O7&gt;=Inputs!$E$17,O7&lt;Inputs!$E$21),1,0)</f>
        <v>1</v>
      </c>
      <c r="P11" s="1">
        <f>IF(AND(P7&gt;=Inputs!$E$17,P7&lt;Inputs!$E$21),1,0)</f>
        <v>1</v>
      </c>
      <c r="Q11" s="1">
        <f>IF(AND(Q7&gt;=Inputs!$E$17,Q7&lt;Inputs!$E$21),1,0)</f>
        <v>1</v>
      </c>
      <c r="R11" s="1">
        <f>IF(AND(R7&gt;=Inputs!$E$17,R7&lt;Inputs!$E$21),1,0)</f>
        <v>1</v>
      </c>
      <c r="S11" s="1">
        <f>IF(AND(S7&gt;=Inputs!$E$17,S7&lt;Inputs!$E$21),1,0)</f>
        <v>1</v>
      </c>
      <c r="T11" s="1">
        <f>IF(AND(T7&gt;=Inputs!$E$17,T7&lt;Inputs!$E$21),1,0)</f>
        <v>1</v>
      </c>
      <c r="U11" s="1">
        <f>IF(AND(U7&gt;=Inputs!$E$17,U7&lt;Inputs!$E$21),1,0)</f>
        <v>1</v>
      </c>
      <c r="V11" s="1">
        <f>IF(AND(V7&gt;=Inputs!$E$17,V7&lt;Inputs!$E$21),1,0)</f>
        <v>1</v>
      </c>
      <c r="W11" s="1">
        <f>IF(AND(W7&gt;=Inputs!$E$17,W7&lt;Inputs!$E$21),1,0)</f>
        <v>1</v>
      </c>
      <c r="X11" s="1">
        <f>IF(AND(X7&gt;=Inputs!$E$17,X7&lt;Inputs!$E$21),1,0)</f>
        <v>1</v>
      </c>
      <c r="Y11" s="1">
        <f>IF(AND(Y7&gt;=Inputs!$E$17,Y7&lt;Inputs!$E$21),1,0)</f>
        <v>1</v>
      </c>
      <c r="Z11" s="1">
        <f>IF(AND(Z7&gt;=Inputs!$E$17,Z7&lt;Inputs!$E$21),1,0)</f>
        <v>1</v>
      </c>
      <c r="AA11" s="1">
        <f>IF(AND(AA7&gt;=Inputs!$E$17,AA7&lt;Inputs!$E$21),1,0)</f>
        <v>1</v>
      </c>
      <c r="AB11" s="1">
        <f>IF(AND(AB7&gt;=Inputs!$E$17,AB7&lt;Inputs!$E$21),1,0)</f>
        <v>1</v>
      </c>
      <c r="AC11" s="1">
        <f>IF(AND(AC7&gt;=Inputs!$E$17,AC7&lt;Inputs!$E$21),1,0)</f>
        <v>1</v>
      </c>
      <c r="AD11" s="1">
        <f>IF(AND(AD7&gt;=Inputs!$E$17,AD7&lt;Inputs!$E$21),1,0)</f>
        <v>1</v>
      </c>
      <c r="AE11" s="1">
        <f>IF(AND(AE7&gt;=Inputs!$E$17,AE7&lt;Inputs!$E$21),1,0)</f>
        <v>1</v>
      </c>
      <c r="AF11" s="1">
        <f>IF(AND(AF7&gt;=Inputs!$E$17,AF7&lt;Inputs!$E$21),1,0)</f>
        <v>1</v>
      </c>
      <c r="AG11" s="1">
        <f>IF(AND(AG7&gt;=Inputs!$E$17,AG7&lt;Inputs!$E$21),1,0)</f>
        <v>1</v>
      </c>
      <c r="AH11" s="1">
        <f>IF(AND(AH7&gt;=Inputs!$E$17,AH7&lt;Inputs!$E$21),1,0)</f>
        <v>1</v>
      </c>
      <c r="AI11" s="1">
        <f>IF(AND(AI7&gt;=Inputs!$E$17,AI7&lt;Inputs!$E$21),1,0)</f>
        <v>0</v>
      </c>
      <c r="AJ11" s="1">
        <f>IF(AND(AJ7&gt;=Inputs!$E$17,AJ7&lt;Inputs!$E$21),1,0)</f>
        <v>0</v>
      </c>
      <c r="AK11" s="1">
        <f>IF(AND(AK7&gt;=Inputs!$E$17,AK7&lt;Inputs!$E$21),1,0)</f>
        <v>0</v>
      </c>
      <c r="AL11" s="1">
        <f>IF(AND(AL7&gt;=Inputs!$E$17,AL7&lt;Inputs!$E$21),1,0)</f>
        <v>0</v>
      </c>
      <c r="AM11" s="1">
        <f>IF(AND(AM7&gt;=Inputs!$E$17,AM7&lt;Inputs!$E$21),1,0)</f>
        <v>0</v>
      </c>
      <c r="AN11" s="1">
        <f>IF(AND(AN7&gt;=Inputs!$E$17,AN7&lt;Inputs!$E$21),1,0)</f>
        <v>0</v>
      </c>
      <c r="AO11" s="1">
        <f>IF(AND(AO7&gt;=Inputs!$E$17,AO7&lt;Inputs!$E$21),1,0)</f>
        <v>0</v>
      </c>
      <c r="AP11" s="1">
        <f>IF(AND(AP7&gt;=Inputs!$E$17,AP7&lt;Inputs!$E$21),1,0)</f>
        <v>0</v>
      </c>
      <c r="AQ11" s="1">
        <f>IF(AND(AQ7&gt;=Inputs!$E$17,AQ7&lt;Inputs!$E$21),1,0)</f>
        <v>0</v>
      </c>
      <c r="AR11" s="1">
        <f>IF(AND(AR7&gt;=Inputs!$E$17,AR7&lt;Inputs!$E$21),1,0)</f>
        <v>0</v>
      </c>
    </row>
    <row r="12" spans="1:44" ht="15">
      <c r="A12" s="2" t="s">
        <v>210</v>
      </c>
      <c r="C12" s="12"/>
    </row>
    <row r="13" spans="1:44">
      <c r="B13" s="1" t="s">
        <v>211</v>
      </c>
      <c r="C13" s="12" t="s">
        <v>49</v>
      </c>
      <c r="F13" s="1">
        <f>(F11+D13)*F11</f>
        <v>0</v>
      </c>
      <c r="G13" s="1">
        <f t="shared" ref="G13:AG13" si="6">(G11+F13)*G11</f>
        <v>0</v>
      </c>
      <c r="H13" s="1">
        <f t="shared" si="6"/>
        <v>0</v>
      </c>
      <c r="I13" s="1">
        <f t="shared" si="6"/>
        <v>0</v>
      </c>
      <c r="J13" s="1">
        <f t="shared" si="6"/>
        <v>0</v>
      </c>
      <c r="K13" s="1">
        <f t="shared" si="6"/>
        <v>0</v>
      </c>
      <c r="L13" s="1">
        <f t="shared" si="6"/>
        <v>0</v>
      </c>
      <c r="M13" s="1">
        <f t="shared" si="6"/>
        <v>0</v>
      </c>
      <c r="N13" s="1">
        <f t="shared" si="6"/>
        <v>0</v>
      </c>
      <c r="O13" s="1">
        <f t="shared" si="6"/>
        <v>1</v>
      </c>
      <c r="P13" s="1">
        <f t="shared" si="6"/>
        <v>2</v>
      </c>
      <c r="Q13" s="1">
        <f t="shared" si="6"/>
        <v>3</v>
      </c>
      <c r="R13" s="1">
        <f t="shared" si="6"/>
        <v>4</v>
      </c>
      <c r="S13" s="1">
        <f t="shared" si="6"/>
        <v>5</v>
      </c>
      <c r="T13" s="1">
        <f t="shared" si="6"/>
        <v>6</v>
      </c>
      <c r="U13" s="1">
        <f t="shared" si="6"/>
        <v>7</v>
      </c>
      <c r="V13" s="1">
        <f t="shared" si="6"/>
        <v>8</v>
      </c>
      <c r="W13" s="1">
        <f t="shared" si="6"/>
        <v>9</v>
      </c>
      <c r="X13" s="1">
        <f t="shared" si="6"/>
        <v>10</v>
      </c>
      <c r="Y13" s="1">
        <f t="shared" si="6"/>
        <v>11</v>
      </c>
      <c r="Z13" s="1">
        <f t="shared" si="6"/>
        <v>12</v>
      </c>
      <c r="AA13" s="1">
        <f t="shared" si="6"/>
        <v>13</v>
      </c>
      <c r="AB13" s="1">
        <f t="shared" si="6"/>
        <v>14</v>
      </c>
      <c r="AC13" s="1">
        <f t="shared" si="6"/>
        <v>15</v>
      </c>
      <c r="AD13" s="1">
        <f t="shared" si="6"/>
        <v>16</v>
      </c>
      <c r="AE13" s="1">
        <f t="shared" si="6"/>
        <v>17</v>
      </c>
      <c r="AF13" s="1">
        <f t="shared" si="6"/>
        <v>18</v>
      </c>
      <c r="AG13" s="1">
        <f t="shared" si="6"/>
        <v>19</v>
      </c>
      <c r="AH13" s="1">
        <f>(AH11+AG13)*AH11</f>
        <v>20</v>
      </c>
      <c r="AI13" s="1">
        <f t="shared" ref="AI13:AR13" si="7">(AI11+AH13)*AI11</f>
        <v>0</v>
      </c>
      <c r="AJ13" s="1">
        <f t="shared" si="7"/>
        <v>0</v>
      </c>
      <c r="AK13" s="1">
        <f t="shared" si="7"/>
        <v>0</v>
      </c>
      <c r="AL13" s="1">
        <f t="shared" si="7"/>
        <v>0</v>
      </c>
      <c r="AM13" s="1">
        <f t="shared" si="7"/>
        <v>0</v>
      </c>
      <c r="AN13" s="1">
        <f t="shared" si="7"/>
        <v>0</v>
      </c>
      <c r="AO13" s="1">
        <f t="shared" si="7"/>
        <v>0</v>
      </c>
      <c r="AP13" s="1">
        <f t="shared" si="7"/>
        <v>0</v>
      </c>
      <c r="AQ13" s="1">
        <f t="shared" si="7"/>
        <v>0</v>
      </c>
      <c r="AR13" s="1">
        <f t="shared" si="7"/>
        <v>0</v>
      </c>
    </row>
    <row r="14" spans="1:44" ht="15">
      <c r="A14" s="2" t="s">
        <v>9</v>
      </c>
      <c r="C14" s="12"/>
    </row>
    <row r="15" spans="1:44">
      <c r="B15" s="1" t="s">
        <v>65</v>
      </c>
      <c r="C15" s="12" t="s">
        <v>49</v>
      </c>
      <c r="D15" s="73">
        <f>Inputs!E24</f>
        <v>0</v>
      </c>
      <c r="E15" s="73"/>
      <c r="F15" s="3">
        <f>1/(1+$D15)^(F$10-1)</f>
        <v>1</v>
      </c>
      <c r="G15" s="3">
        <f t="shared" ref="G15:AR15" si="8">1/(1+$D15)^(G$10-1)</f>
        <v>1</v>
      </c>
      <c r="H15" s="3">
        <f t="shared" si="8"/>
        <v>1</v>
      </c>
      <c r="I15" s="3">
        <f t="shared" si="8"/>
        <v>1</v>
      </c>
      <c r="J15" s="3">
        <f t="shared" si="8"/>
        <v>1</v>
      </c>
      <c r="K15" s="3">
        <f t="shared" si="8"/>
        <v>1</v>
      </c>
      <c r="L15" s="3">
        <f t="shared" si="8"/>
        <v>1</v>
      </c>
      <c r="M15" s="3">
        <f t="shared" si="8"/>
        <v>1</v>
      </c>
      <c r="N15" s="3">
        <f t="shared" si="8"/>
        <v>1</v>
      </c>
      <c r="O15" s="3">
        <f t="shared" si="8"/>
        <v>1</v>
      </c>
      <c r="P15" s="3">
        <f t="shared" si="8"/>
        <v>1</v>
      </c>
      <c r="Q15" s="3">
        <f t="shared" si="8"/>
        <v>1</v>
      </c>
      <c r="R15" s="3">
        <f t="shared" si="8"/>
        <v>1</v>
      </c>
      <c r="S15" s="3">
        <f t="shared" si="8"/>
        <v>1</v>
      </c>
      <c r="T15" s="3">
        <f t="shared" si="8"/>
        <v>1</v>
      </c>
      <c r="U15" s="3">
        <f t="shared" si="8"/>
        <v>1</v>
      </c>
      <c r="V15" s="3">
        <f t="shared" si="8"/>
        <v>1</v>
      </c>
      <c r="W15" s="3">
        <f t="shared" si="8"/>
        <v>1</v>
      </c>
      <c r="X15" s="3">
        <f t="shared" si="8"/>
        <v>1</v>
      </c>
      <c r="Y15" s="3">
        <f t="shared" si="8"/>
        <v>1</v>
      </c>
      <c r="Z15" s="3">
        <f t="shared" si="8"/>
        <v>1</v>
      </c>
      <c r="AA15" s="3">
        <f t="shared" si="8"/>
        <v>1</v>
      </c>
      <c r="AB15" s="3">
        <f t="shared" si="8"/>
        <v>1</v>
      </c>
      <c r="AC15" s="3">
        <f t="shared" si="8"/>
        <v>1</v>
      </c>
      <c r="AD15" s="3">
        <f t="shared" si="8"/>
        <v>1</v>
      </c>
      <c r="AE15" s="3">
        <f t="shared" si="8"/>
        <v>1</v>
      </c>
      <c r="AF15" s="3">
        <f t="shared" si="8"/>
        <v>1</v>
      </c>
      <c r="AG15" s="3">
        <f t="shared" si="8"/>
        <v>1</v>
      </c>
      <c r="AH15" s="3">
        <f t="shared" si="8"/>
        <v>1</v>
      </c>
      <c r="AI15" s="3">
        <f t="shared" si="8"/>
        <v>1</v>
      </c>
      <c r="AJ15" s="3">
        <f t="shared" si="8"/>
        <v>1</v>
      </c>
      <c r="AK15" s="3">
        <f t="shared" si="8"/>
        <v>1</v>
      </c>
      <c r="AL15" s="3">
        <f t="shared" si="8"/>
        <v>1</v>
      </c>
      <c r="AM15" s="3">
        <f t="shared" si="8"/>
        <v>1</v>
      </c>
      <c r="AN15" s="3">
        <f t="shared" si="8"/>
        <v>1</v>
      </c>
      <c r="AO15" s="3">
        <f t="shared" si="8"/>
        <v>1</v>
      </c>
      <c r="AP15" s="3">
        <f t="shared" si="8"/>
        <v>1</v>
      </c>
      <c r="AQ15" s="3">
        <f t="shared" si="8"/>
        <v>1</v>
      </c>
      <c r="AR15" s="3">
        <f t="shared" si="8"/>
        <v>1</v>
      </c>
    </row>
    <row r="16" spans="1:44">
      <c r="B16" s="1" t="s">
        <v>67</v>
      </c>
      <c r="C16" s="12" t="s">
        <v>49</v>
      </c>
      <c r="D16" s="73">
        <f>Inputs!E25</f>
        <v>0.03</v>
      </c>
      <c r="E16" s="73"/>
      <c r="F16" s="3">
        <f t="shared" ref="F16:G16" si="9">MIN(1,IF(F10=0,1,1/(1+$D16)^(F$10-1)))</f>
        <v>1</v>
      </c>
      <c r="G16" s="3">
        <f t="shared" si="9"/>
        <v>1</v>
      </c>
      <c r="H16" s="3">
        <f>MIN(1,IF(H10=0,1,1/(1+$D16)^(H$10-1)))</f>
        <v>1</v>
      </c>
      <c r="I16" s="3">
        <f t="shared" ref="I16:AR16" si="10">MIN(1,IF(I10=0,1,1/(1+$D16)^(I$10-1)))</f>
        <v>1</v>
      </c>
      <c r="J16" s="3">
        <f t="shared" si="10"/>
        <v>0.970873786407767</v>
      </c>
      <c r="K16" s="3">
        <f t="shared" si="10"/>
        <v>0.94259590913375435</v>
      </c>
      <c r="L16" s="3">
        <f t="shared" si="10"/>
        <v>0.91514165935315961</v>
      </c>
      <c r="M16" s="3">
        <f t="shared" si="10"/>
        <v>0.888487047915689</v>
      </c>
      <c r="N16" s="3">
        <f t="shared" si="10"/>
        <v>0.86260878438416411</v>
      </c>
      <c r="O16" s="3">
        <f t="shared" si="10"/>
        <v>0.83748425668365445</v>
      </c>
      <c r="P16" s="3">
        <f t="shared" si="10"/>
        <v>0.81309151134335378</v>
      </c>
      <c r="Q16" s="3">
        <f t="shared" si="10"/>
        <v>0.78940923431393573</v>
      </c>
      <c r="R16" s="3">
        <f t="shared" si="10"/>
        <v>0.76641673234362695</v>
      </c>
      <c r="S16" s="3">
        <f t="shared" si="10"/>
        <v>0.74409391489672516</v>
      </c>
      <c r="T16" s="3">
        <f t="shared" si="10"/>
        <v>0.72242127659876232</v>
      </c>
      <c r="U16" s="3">
        <f t="shared" si="10"/>
        <v>0.70137988019297326</v>
      </c>
      <c r="V16" s="3">
        <f t="shared" si="10"/>
        <v>0.68095133999317792</v>
      </c>
      <c r="W16" s="3">
        <f t="shared" si="10"/>
        <v>0.66111780581861923</v>
      </c>
      <c r="X16" s="3">
        <f t="shared" si="10"/>
        <v>0.64186194739671765</v>
      </c>
      <c r="Y16" s="3">
        <f t="shared" si="10"/>
        <v>0.62316693922011435</v>
      </c>
      <c r="Z16" s="3">
        <f t="shared" si="10"/>
        <v>0.60501644584477121</v>
      </c>
      <c r="AA16" s="3">
        <f t="shared" si="10"/>
        <v>0.5873946076162827</v>
      </c>
      <c r="AB16" s="3">
        <f t="shared" si="10"/>
        <v>0.57028602681192497</v>
      </c>
      <c r="AC16" s="3">
        <f t="shared" si="10"/>
        <v>0.55367575418633497</v>
      </c>
      <c r="AD16" s="3">
        <f t="shared" si="10"/>
        <v>0.5375492759090631</v>
      </c>
      <c r="AE16" s="3">
        <f t="shared" si="10"/>
        <v>0.52189250088258554</v>
      </c>
      <c r="AF16" s="3">
        <f t="shared" si="10"/>
        <v>0.50669174842969467</v>
      </c>
      <c r="AG16" s="3">
        <f t="shared" si="10"/>
        <v>0.49193373633950943</v>
      </c>
      <c r="AH16" s="3">
        <f t="shared" si="10"/>
        <v>0.47760556926165965</v>
      </c>
      <c r="AI16" s="3">
        <f t="shared" si="10"/>
        <v>0.46369472743850448</v>
      </c>
      <c r="AJ16" s="3">
        <f t="shared" si="10"/>
        <v>0.45018905576553836</v>
      </c>
      <c r="AK16" s="3">
        <f t="shared" si="10"/>
        <v>0.4370767531704256</v>
      </c>
      <c r="AL16" s="3">
        <f t="shared" si="10"/>
        <v>0.42434636230138412</v>
      </c>
      <c r="AM16" s="3">
        <f t="shared" si="10"/>
        <v>0.41198675951590691</v>
      </c>
      <c r="AN16" s="3">
        <f t="shared" si="10"/>
        <v>0.39998714516107459</v>
      </c>
      <c r="AO16" s="3">
        <f t="shared" si="10"/>
        <v>0.38833703413696569</v>
      </c>
      <c r="AP16" s="3">
        <f t="shared" si="10"/>
        <v>0.37702624673491814</v>
      </c>
      <c r="AQ16" s="3">
        <f t="shared" si="10"/>
        <v>0.36604489974263904</v>
      </c>
      <c r="AR16" s="3">
        <f t="shared" si="10"/>
        <v>0.35538339780838735</v>
      </c>
    </row>
    <row r="17" spans="1:44">
      <c r="B17" s="1" t="s">
        <v>68</v>
      </c>
      <c r="C17" s="12" t="s">
        <v>49</v>
      </c>
      <c r="D17" s="73">
        <f>Inputs!E26</f>
        <v>7.0000000000000007E-2</v>
      </c>
      <c r="E17" s="73"/>
      <c r="F17" s="3">
        <f t="shared" ref="F17:G17" si="11">MIN(1,IF(F10=0,1,1/(1+$D17)^(F$10-1)))</f>
        <v>1</v>
      </c>
      <c r="G17" s="3">
        <f t="shared" si="11"/>
        <v>1</v>
      </c>
      <c r="H17" s="3">
        <f>MIN(1,IF(H10=0,1,1/(1+$D17)^(H$10-1)))</f>
        <v>1</v>
      </c>
      <c r="I17" s="3">
        <f t="shared" ref="I17:AR17" si="12">MIN(1,IF(I10=0,1,1/(1+$D17)^(I$10-1)))</f>
        <v>1</v>
      </c>
      <c r="J17" s="3">
        <f t="shared" si="12"/>
        <v>0.93457943925233644</v>
      </c>
      <c r="K17" s="3">
        <f t="shared" si="12"/>
        <v>0.87343872827321156</v>
      </c>
      <c r="L17" s="3">
        <f t="shared" si="12"/>
        <v>0.81629787689085187</v>
      </c>
      <c r="M17" s="3">
        <f t="shared" si="12"/>
        <v>0.7628952120475252</v>
      </c>
      <c r="N17" s="3">
        <f t="shared" si="12"/>
        <v>0.71298617948366838</v>
      </c>
      <c r="O17" s="3">
        <f t="shared" si="12"/>
        <v>0.66634222381651254</v>
      </c>
      <c r="P17" s="3">
        <f t="shared" si="12"/>
        <v>0.62274974188459109</v>
      </c>
      <c r="Q17" s="3">
        <f t="shared" si="12"/>
        <v>0.5820091045650384</v>
      </c>
      <c r="R17" s="3">
        <f t="shared" si="12"/>
        <v>0.54393374258414806</v>
      </c>
      <c r="S17" s="3">
        <f t="shared" si="12"/>
        <v>0.5083492921347178</v>
      </c>
      <c r="T17" s="3">
        <f t="shared" si="12"/>
        <v>0.47509279638758667</v>
      </c>
      <c r="U17" s="3">
        <f t="shared" si="12"/>
        <v>0.44401195924073528</v>
      </c>
      <c r="V17" s="3">
        <f t="shared" si="12"/>
        <v>0.41496444788853759</v>
      </c>
      <c r="W17" s="3">
        <f t="shared" si="12"/>
        <v>0.3878172410173249</v>
      </c>
      <c r="X17" s="3">
        <f t="shared" si="12"/>
        <v>0.36244601964235967</v>
      </c>
      <c r="Y17" s="3">
        <f t="shared" si="12"/>
        <v>0.33873459779659787</v>
      </c>
      <c r="Z17" s="3">
        <f t="shared" si="12"/>
        <v>0.31657439046411018</v>
      </c>
      <c r="AA17" s="3">
        <f t="shared" si="12"/>
        <v>0.29586391632159825</v>
      </c>
      <c r="AB17" s="3">
        <f t="shared" si="12"/>
        <v>0.27650833301083949</v>
      </c>
      <c r="AC17" s="3">
        <f t="shared" si="12"/>
        <v>0.2584190028138687</v>
      </c>
      <c r="AD17" s="3">
        <f t="shared" si="12"/>
        <v>0.24151308674193336</v>
      </c>
      <c r="AE17" s="3">
        <f t="shared" si="12"/>
        <v>0.22571316517937698</v>
      </c>
      <c r="AF17" s="3">
        <f t="shared" si="12"/>
        <v>0.21094688334521211</v>
      </c>
      <c r="AG17" s="3">
        <f t="shared" si="12"/>
        <v>0.19714661994879637</v>
      </c>
      <c r="AH17" s="3">
        <f t="shared" si="12"/>
        <v>0.18424917752223957</v>
      </c>
      <c r="AI17" s="3">
        <f t="shared" si="12"/>
        <v>0.17219549301143888</v>
      </c>
      <c r="AJ17" s="3">
        <f t="shared" si="12"/>
        <v>0.16093036730041013</v>
      </c>
      <c r="AK17" s="3">
        <f t="shared" si="12"/>
        <v>0.15040221243028987</v>
      </c>
      <c r="AL17" s="3">
        <f t="shared" si="12"/>
        <v>0.1405628153554111</v>
      </c>
      <c r="AM17" s="3">
        <f t="shared" si="12"/>
        <v>0.13136711715458982</v>
      </c>
      <c r="AN17" s="3">
        <f t="shared" si="12"/>
        <v>0.1227730066865325</v>
      </c>
      <c r="AO17" s="3">
        <f t="shared" si="12"/>
        <v>0.11474112774442291</v>
      </c>
      <c r="AP17" s="3">
        <f t="shared" si="12"/>
        <v>0.10723469882656347</v>
      </c>
      <c r="AQ17" s="3">
        <f t="shared" si="12"/>
        <v>0.10021934469772288</v>
      </c>
      <c r="AR17" s="3">
        <f t="shared" si="12"/>
        <v>9.366293896983445E-2</v>
      </c>
    </row>
    <row r="19" spans="1:44">
      <c r="B19" s="1" t="s">
        <v>212</v>
      </c>
      <c r="C19" s="1" t="s">
        <v>43</v>
      </c>
      <c r="D19" s="1" t="s">
        <v>44</v>
      </c>
    </row>
    <row r="20" spans="1:44" s="9" customFormat="1">
      <c r="A20" s="8" t="s">
        <v>213</v>
      </c>
    </row>
    <row r="21" spans="1:44" ht="15">
      <c r="A21" s="2" t="s">
        <v>154</v>
      </c>
    </row>
    <row r="22" spans="1:44" ht="15">
      <c r="B22" s="2" t="s">
        <v>153</v>
      </c>
      <c r="C22" s="87"/>
      <c r="D22" s="86"/>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row>
    <row r="23" spans="1:44">
      <c r="B23" s="1" t="s">
        <v>155</v>
      </c>
      <c r="C23" s="87" t="s">
        <v>156</v>
      </c>
      <c r="D23" s="105">
        <f>Inputs!E98</f>
        <v>16.05</v>
      </c>
      <c r="F23" s="109">
        <f t="shared" ref="F23:AR23" si="13">IF(F$7=$D$24,$D$23,0)</f>
        <v>0</v>
      </c>
      <c r="G23" s="109">
        <f t="shared" si="13"/>
        <v>0</v>
      </c>
      <c r="H23" s="109">
        <f t="shared" si="13"/>
        <v>0</v>
      </c>
      <c r="I23" s="109">
        <f t="shared" si="13"/>
        <v>0</v>
      </c>
      <c r="J23" s="109">
        <f t="shared" si="13"/>
        <v>0</v>
      </c>
      <c r="K23" s="109">
        <f t="shared" si="13"/>
        <v>16.05</v>
      </c>
      <c r="L23" s="109">
        <f t="shared" si="13"/>
        <v>0</v>
      </c>
      <c r="M23" s="109">
        <f t="shared" si="13"/>
        <v>0</v>
      </c>
      <c r="N23" s="109">
        <f t="shared" si="13"/>
        <v>0</v>
      </c>
      <c r="O23" s="109">
        <f t="shared" si="13"/>
        <v>0</v>
      </c>
      <c r="P23" s="109">
        <f t="shared" si="13"/>
        <v>0</v>
      </c>
      <c r="Q23" s="109">
        <f t="shared" si="13"/>
        <v>0</v>
      </c>
      <c r="R23" s="109">
        <f t="shared" si="13"/>
        <v>0</v>
      </c>
      <c r="S23" s="109">
        <f t="shared" si="13"/>
        <v>0</v>
      </c>
      <c r="T23" s="109">
        <f t="shared" si="13"/>
        <v>0</v>
      </c>
      <c r="U23" s="109">
        <f t="shared" si="13"/>
        <v>0</v>
      </c>
      <c r="V23" s="109">
        <f t="shared" si="13"/>
        <v>0</v>
      </c>
      <c r="W23" s="109">
        <f t="shared" si="13"/>
        <v>0</v>
      </c>
      <c r="X23" s="109">
        <f t="shared" si="13"/>
        <v>0</v>
      </c>
      <c r="Y23" s="109">
        <f t="shared" si="13"/>
        <v>0</v>
      </c>
      <c r="Z23" s="109">
        <f t="shared" si="13"/>
        <v>0</v>
      </c>
      <c r="AA23" s="109">
        <f t="shared" si="13"/>
        <v>0</v>
      </c>
      <c r="AB23" s="109">
        <f t="shared" si="13"/>
        <v>0</v>
      </c>
      <c r="AC23" s="109">
        <f t="shared" si="13"/>
        <v>0</v>
      </c>
      <c r="AD23" s="109">
        <f t="shared" si="13"/>
        <v>0</v>
      </c>
      <c r="AE23" s="109">
        <f t="shared" si="13"/>
        <v>0</v>
      </c>
      <c r="AF23" s="109">
        <f t="shared" si="13"/>
        <v>0</v>
      </c>
      <c r="AG23" s="109">
        <f t="shared" si="13"/>
        <v>0</v>
      </c>
      <c r="AH23" s="109">
        <f t="shared" si="13"/>
        <v>0</v>
      </c>
      <c r="AI23" s="109">
        <f t="shared" si="13"/>
        <v>0</v>
      </c>
      <c r="AJ23" s="109">
        <f t="shared" si="13"/>
        <v>0</v>
      </c>
      <c r="AK23" s="109">
        <f t="shared" si="13"/>
        <v>0</v>
      </c>
      <c r="AL23" s="109">
        <f t="shared" si="13"/>
        <v>0</v>
      </c>
      <c r="AM23" s="109">
        <f t="shared" si="13"/>
        <v>0</v>
      </c>
      <c r="AN23" s="109">
        <f t="shared" si="13"/>
        <v>0</v>
      </c>
      <c r="AO23" s="109">
        <f t="shared" si="13"/>
        <v>0</v>
      </c>
      <c r="AP23" s="109">
        <f t="shared" si="13"/>
        <v>0</v>
      </c>
      <c r="AQ23" s="109">
        <f t="shared" si="13"/>
        <v>0</v>
      </c>
      <c r="AR23" s="109">
        <f t="shared" si="13"/>
        <v>0</v>
      </c>
    </row>
    <row r="24" spans="1:44">
      <c r="B24" s="1" t="s">
        <v>155</v>
      </c>
      <c r="C24" s="87" t="s">
        <v>112</v>
      </c>
      <c r="D24" s="23">
        <f>Inputs!E99</f>
        <v>2023</v>
      </c>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row>
    <row r="25" spans="1:44">
      <c r="B25" s="1" t="s">
        <v>157</v>
      </c>
      <c r="C25" s="87" t="s">
        <v>156</v>
      </c>
      <c r="D25" s="105">
        <f>Inputs!E100</f>
        <v>39.239999999999995</v>
      </c>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row>
    <row r="26" spans="1:44">
      <c r="B26" s="1" t="s">
        <v>157</v>
      </c>
      <c r="C26" s="87" t="s">
        <v>112</v>
      </c>
      <c r="D26" s="23">
        <f>Inputs!E106</f>
        <v>2046</v>
      </c>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row>
    <row r="27" spans="1:44">
      <c r="B27" s="1" t="s">
        <v>257</v>
      </c>
      <c r="C27" s="87" t="s">
        <v>156</v>
      </c>
      <c r="D27" s="18">
        <f>(D25-D23)/(D26-D24)</f>
        <v>1.0082608695652171</v>
      </c>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row>
    <row r="28" spans="1:44">
      <c r="B28" s="1" t="s">
        <v>258</v>
      </c>
      <c r="C28" s="87" t="s">
        <v>259</v>
      </c>
      <c r="D28" s="20"/>
      <c r="F28" s="19">
        <f t="shared" ref="F28:AR28" si="14">IF(F7&gt;$D$24,1,0)</f>
        <v>0</v>
      </c>
      <c r="G28" s="19">
        <f t="shared" si="14"/>
        <v>0</v>
      </c>
      <c r="H28" s="19">
        <f t="shared" si="14"/>
        <v>0</v>
      </c>
      <c r="I28" s="19">
        <f t="shared" si="14"/>
        <v>0</v>
      </c>
      <c r="J28" s="19">
        <f t="shared" si="14"/>
        <v>0</v>
      </c>
      <c r="K28" s="19">
        <f t="shared" si="14"/>
        <v>0</v>
      </c>
      <c r="L28" s="19">
        <f t="shared" si="14"/>
        <v>1</v>
      </c>
      <c r="M28" s="19">
        <f t="shared" si="14"/>
        <v>1</v>
      </c>
      <c r="N28" s="19">
        <f t="shared" si="14"/>
        <v>1</v>
      </c>
      <c r="O28" s="19">
        <f t="shared" si="14"/>
        <v>1</v>
      </c>
      <c r="P28" s="19">
        <f t="shared" si="14"/>
        <v>1</v>
      </c>
      <c r="Q28" s="19">
        <f t="shared" si="14"/>
        <v>1</v>
      </c>
      <c r="R28" s="19">
        <f t="shared" si="14"/>
        <v>1</v>
      </c>
      <c r="S28" s="19">
        <f t="shared" si="14"/>
        <v>1</v>
      </c>
      <c r="T28" s="19">
        <f t="shared" si="14"/>
        <v>1</v>
      </c>
      <c r="U28" s="19">
        <f t="shared" si="14"/>
        <v>1</v>
      </c>
      <c r="V28" s="19">
        <f t="shared" si="14"/>
        <v>1</v>
      </c>
      <c r="W28" s="19">
        <f t="shared" si="14"/>
        <v>1</v>
      </c>
      <c r="X28" s="19">
        <f t="shared" si="14"/>
        <v>1</v>
      </c>
      <c r="Y28" s="19">
        <f t="shared" si="14"/>
        <v>1</v>
      </c>
      <c r="Z28" s="19">
        <f t="shared" si="14"/>
        <v>1</v>
      </c>
      <c r="AA28" s="19">
        <f t="shared" si="14"/>
        <v>1</v>
      </c>
      <c r="AB28" s="19">
        <f t="shared" si="14"/>
        <v>1</v>
      </c>
      <c r="AC28" s="19">
        <f t="shared" si="14"/>
        <v>1</v>
      </c>
      <c r="AD28" s="19">
        <f t="shared" si="14"/>
        <v>1</v>
      </c>
      <c r="AE28" s="19">
        <f t="shared" si="14"/>
        <v>1</v>
      </c>
      <c r="AF28" s="19">
        <f t="shared" si="14"/>
        <v>1</v>
      </c>
      <c r="AG28" s="19">
        <f t="shared" si="14"/>
        <v>1</v>
      </c>
      <c r="AH28" s="19">
        <f t="shared" si="14"/>
        <v>1</v>
      </c>
      <c r="AI28" s="19">
        <f t="shared" si="14"/>
        <v>1</v>
      </c>
      <c r="AJ28" s="19">
        <f t="shared" si="14"/>
        <v>1</v>
      </c>
      <c r="AK28" s="19">
        <f t="shared" si="14"/>
        <v>1</v>
      </c>
      <c r="AL28" s="19">
        <f t="shared" si="14"/>
        <v>1</v>
      </c>
      <c r="AM28" s="19">
        <f t="shared" si="14"/>
        <v>1</v>
      </c>
      <c r="AN28" s="19">
        <f t="shared" si="14"/>
        <v>1</v>
      </c>
      <c r="AO28" s="19">
        <f t="shared" si="14"/>
        <v>1</v>
      </c>
      <c r="AP28" s="19">
        <f t="shared" si="14"/>
        <v>1</v>
      </c>
      <c r="AQ28" s="19">
        <f t="shared" si="14"/>
        <v>1</v>
      </c>
      <c r="AR28" s="19">
        <f t="shared" si="14"/>
        <v>1</v>
      </c>
    </row>
    <row r="29" spans="1:44" ht="15">
      <c r="A29" s="2"/>
      <c r="B29" s="1" t="s">
        <v>280</v>
      </c>
      <c r="C29" s="87" t="s">
        <v>156</v>
      </c>
      <c r="D29" s="105">
        <f>SUM(F29:AR29)</f>
        <v>1111.334347826087</v>
      </c>
      <c r="F29" s="105">
        <f t="shared" ref="F29:AR29" si="15">E29+F23+F28*$D$27</f>
        <v>0</v>
      </c>
      <c r="G29" s="105">
        <f t="shared" si="15"/>
        <v>0</v>
      </c>
      <c r="H29" s="105">
        <f t="shared" si="15"/>
        <v>0</v>
      </c>
      <c r="I29" s="105">
        <f t="shared" si="15"/>
        <v>0</v>
      </c>
      <c r="J29" s="105">
        <f t="shared" si="15"/>
        <v>0</v>
      </c>
      <c r="K29" s="105">
        <f t="shared" si="15"/>
        <v>16.05</v>
      </c>
      <c r="L29" s="105">
        <f t="shared" si="15"/>
        <v>17.058260869565217</v>
      </c>
      <c r="M29" s="105">
        <f t="shared" si="15"/>
        <v>18.066521739130433</v>
      </c>
      <c r="N29" s="105">
        <f t="shared" si="15"/>
        <v>19.074782608695649</v>
      </c>
      <c r="O29" s="105">
        <f t="shared" si="15"/>
        <v>20.083043478260866</v>
      </c>
      <c r="P29" s="105">
        <f t="shared" si="15"/>
        <v>21.091304347826082</v>
      </c>
      <c r="Q29" s="105">
        <f t="shared" si="15"/>
        <v>22.099565217391298</v>
      </c>
      <c r="R29" s="105">
        <f t="shared" si="15"/>
        <v>23.107826086956514</v>
      </c>
      <c r="S29" s="105">
        <f t="shared" si="15"/>
        <v>24.11608695652173</v>
      </c>
      <c r="T29" s="105">
        <f t="shared" si="15"/>
        <v>25.124347826086947</v>
      </c>
      <c r="U29" s="105">
        <f t="shared" si="15"/>
        <v>26.132608695652163</v>
      </c>
      <c r="V29" s="105">
        <f t="shared" si="15"/>
        <v>27.140869565217379</v>
      </c>
      <c r="W29" s="105">
        <f t="shared" si="15"/>
        <v>28.149130434782595</v>
      </c>
      <c r="X29" s="105">
        <f t="shared" si="15"/>
        <v>29.157391304347811</v>
      </c>
      <c r="Y29" s="105">
        <f t="shared" si="15"/>
        <v>30.165652173913028</v>
      </c>
      <c r="Z29" s="105">
        <f t="shared" si="15"/>
        <v>31.173913043478244</v>
      </c>
      <c r="AA29" s="105">
        <f t="shared" si="15"/>
        <v>32.182173913043464</v>
      </c>
      <c r="AB29" s="105">
        <f t="shared" si="15"/>
        <v>33.190434782608683</v>
      </c>
      <c r="AC29" s="105">
        <f t="shared" si="15"/>
        <v>34.198695652173903</v>
      </c>
      <c r="AD29" s="105">
        <f t="shared" si="15"/>
        <v>35.206956521739123</v>
      </c>
      <c r="AE29" s="105">
        <f t="shared" si="15"/>
        <v>36.215217391304343</v>
      </c>
      <c r="AF29" s="105">
        <f t="shared" si="15"/>
        <v>37.223478260869562</v>
      </c>
      <c r="AG29" s="105">
        <f t="shared" si="15"/>
        <v>38.231739130434782</v>
      </c>
      <c r="AH29" s="105">
        <f t="shared" si="15"/>
        <v>39.24</v>
      </c>
      <c r="AI29" s="105">
        <f t="shared" si="15"/>
        <v>40.248260869565222</v>
      </c>
      <c r="AJ29" s="105">
        <f t="shared" si="15"/>
        <v>41.256521739130442</v>
      </c>
      <c r="AK29" s="105">
        <f t="shared" si="15"/>
        <v>42.264782608695661</v>
      </c>
      <c r="AL29" s="105">
        <f t="shared" si="15"/>
        <v>43.273043478260881</v>
      </c>
      <c r="AM29" s="105">
        <f t="shared" si="15"/>
        <v>44.281304347826101</v>
      </c>
      <c r="AN29" s="105">
        <f t="shared" si="15"/>
        <v>45.289565217391321</v>
      </c>
      <c r="AO29" s="105">
        <f t="shared" si="15"/>
        <v>46.29782608695654</v>
      </c>
      <c r="AP29" s="105">
        <f t="shared" si="15"/>
        <v>47.30608695652176</v>
      </c>
      <c r="AQ29" s="105">
        <f t="shared" si="15"/>
        <v>48.31434782608698</v>
      </c>
      <c r="AR29" s="105">
        <f t="shared" si="15"/>
        <v>49.3226086956522</v>
      </c>
    </row>
    <row r="30" spans="1:44" ht="15">
      <c r="A30" s="2"/>
      <c r="B30" s="1" t="s">
        <v>281</v>
      </c>
      <c r="C30" s="87" t="s">
        <v>282</v>
      </c>
      <c r="D30" s="105">
        <f>Inputs!$E$33</f>
        <v>1000</v>
      </c>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row>
    <row r="31" spans="1:44" ht="15">
      <c r="A31" s="2"/>
      <c r="B31" s="1" t="s">
        <v>283</v>
      </c>
      <c r="C31" s="87" t="s">
        <v>284</v>
      </c>
      <c r="D31" s="105">
        <f>Inputs!$E$32</f>
        <v>365</v>
      </c>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105"/>
      <c r="AN31" s="105"/>
      <c r="AO31" s="105"/>
      <c r="AP31" s="105"/>
      <c r="AQ31" s="105"/>
      <c r="AR31" s="105"/>
    </row>
    <row r="32" spans="1:44" ht="15">
      <c r="A32" s="2"/>
      <c r="B32" s="1" t="s">
        <v>280</v>
      </c>
      <c r="C32" s="87" t="s">
        <v>285</v>
      </c>
      <c r="D32" s="105">
        <f>SUM(F32:AR32)</f>
        <v>405.63703695652185</v>
      </c>
      <c r="F32" s="105">
        <f>F29*$D$31/$D$30</f>
        <v>0</v>
      </c>
      <c r="G32" s="105">
        <f t="shared" ref="G32:AR32" si="16">G29*$D$31/$D$30</f>
        <v>0</v>
      </c>
      <c r="H32" s="105">
        <f t="shared" si="16"/>
        <v>0</v>
      </c>
      <c r="I32" s="105">
        <f t="shared" si="16"/>
        <v>0</v>
      </c>
      <c r="J32" s="105">
        <f t="shared" si="16"/>
        <v>0</v>
      </c>
      <c r="K32" s="105">
        <f t="shared" si="16"/>
        <v>5.85825</v>
      </c>
      <c r="L32" s="105">
        <f t="shared" si="16"/>
        <v>6.2262652173913038</v>
      </c>
      <c r="M32" s="105">
        <f t="shared" si="16"/>
        <v>6.5942804347826076</v>
      </c>
      <c r="N32" s="105">
        <f t="shared" si="16"/>
        <v>6.9622956521739123</v>
      </c>
      <c r="O32" s="105">
        <f t="shared" si="16"/>
        <v>7.3303108695652162</v>
      </c>
      <c r="P32" s="105">
        <f t="shared" si="16"/>
        <v>7.69832608695652</v>
      </c>
      <c r="Q32" s="105">
        <f t="shared" si="16"/>
        <v>8.0663413043478247</v>
      </c>
      <c r="R32" s="105">
        <f t="shared" si="16"/>
        <v>8.4343565217391276</v>
      </c>
      <c r="S32" s="105">
        <f t="shared" si="16"/>
        <v>8.8023717391304306</v>
      </c>
      <c r="T32" s="105">
        <f t="shared" si="16"/>
        <v>9.1703869565217353</v>
      </c>
      <c r="U32" s="105">
        <f t="shared" si="16"/>
        <v>9.53840217391304</v>
      </c>
      <c r="V32" s="105">
        <f t="shared" si="16"/>
        <v>9.906417391304343</v>
      </c>
      <c r="W32" s="105">
        <f t="shared" si="16"/>
        <v>10.274432608695648</v>
      </c>
      <c r="X32" s="105">
        <f t="shared" si="16"/>
        <v>10.642447826086951</v>
      </c>
      <c r="Y32" s="105">
        <f t="shared" si="16"/>
        <v>11.010463043478255</v>
      </c>
      <c r="Z32" s="105">
        <f t="shared" si="16"/>
        <v>11.378478260869558</v>
      </c>
      <c r="AA32" s="105">
        <f t="shared" si="16"/>
        <v>11.746493478260863</v>
      </c>
      <c r="AB32" s="105">
        <f t="shared" si="16"/>
        <v>12.114508695652169</v>
      </c>
      <c r="AC32" s="105">
        <f t="shared" si="16"/>
        <v>12.482523913043474</v>
      </c>
      <c r="AD32" s="105">
        <f t="shared" si="16"/>
        <v>12.850539130434779</v>
      </c>
      <c r="AE32" s="105">
        <f t="shared" si="16"/>
        <v>13.218554347826084</v>
      </c>
      <c r="AF32" s="105">
        <f t="shared" si="16"/>
        <v>13.58656956521739</v>
      </c>
      <c r="AG32" s="105">
        <f t="shared" si="16"/>
        <v>13.954584782608695</v>
      </c>
      <c r="AH32" s="105">
        <f t="shared" si="16"/>
        <v>14.3226</v>
      </c>
      <c r="AI32" s="105">
        <f t="shared" si="16"/>
        <v>14.690615217391304</v>
      </c>
      <c r="AJ32" s="105">
        <f t="shared" si="16"/>
        <v>15.058630434782613</v>
      </c>
      <c r="AK32" s="105">
        <f t="shared" si="16"/>
        <v>15.426645652173917</v>
      </c>
      <c r="AL32" s="105">
        <f t="shared" si="16"/>
        <v>15.794660869565222</v>
      </c>
      <c r="AM32" s="105">
        <f t="shared" si="16"/>
        <v>16.162676086956527</v>
      </c>
      <c r="AN32" s="105">
        <f t="shared" si="16"/>
        <v>16.53069130434783</v>
      </c>
      <c r="AO32" s="105">
        <f t="shared" si="16"/>
        <v>16.898706521739136</v>
      </c>
      <c r="AP32" s="105">
        <f t="shared" si="16"/>
        <v>17.266721739130443</v>
      </c>
      <c r="AQ32" s="105">
        <f t="shared" si="16"/>
        <v>17.634736956521749</v>
      </c>
      <c r="AR32" s="105">
        <f t="shared" si="16"/>
        <v>18.002752173913052</v>
      </c>
    </row>
    <row r="33" spans="1:44" ht="15">
      <c r="A33" s="2"/>
      <c r="C33" s="87"/>
      <c r="D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row>
    <row r="34" spans="1:44" ht="15">
      <c r="B34" s="2" t="s">
        <v>286</v>
      </c>
      <c r="C34" s="87"/>
      <c r="D34" s="105"/>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row>
    <row r="35" spans="1:44">
      <c r="B35" s="1" t="s">
        <v>287</v>
      </c>
      <c r="C35" s="87" t="s">
        <v>165</v>
      </c>
      <c r="D35" s="110"/>
      <c r="F35" s="19">
        <f>IFERROR(HLOOKUP(F$7,Inputs!$H$119:$AJ$123,5),0)</f>
        <v>0</v>
      </c>
      <c r="G35" s="19">
        <f>IFERROR(HLOOKUP(G$7,Inputs!$H$119:$AJ$123,5),0)</f>
        <v>0</v>
      </c>
      <c r="H35" s="19">
        <f>IFERROR(HLOOKUP(H$7,Inputs!$H$119:$AJ$123,5),0)</f>
        <v>0</v>
      </c>
      <c r="I35" s="19">
        <f>IFERROR(HLOOKUP(I$7,Inputs!$H$119:$AJ$123,5),0)</f>
        <v>0</v>
      </c>
      <c r="J35" s="19">
        <f>IFERROR(HLOOKUP(J$7,Inputs!$H$119:$AJ$123,5),0)</f>
        <v>56</v>
      </c>
      <c r="K35" s="19">
        <f>IFERROR(HLOOKUP(K$7,Inputs!$H$119:$AJ$123,5),0)</f>
        <v>57</v>
      </c>
      <c r="L35" s="19">
        <f>IFERROR(HLOOKUP(L$7,Inputs!$H$119:$AJ$123,5),0)</f>
        <v>58</v>
      </c>
      <c r="M35" s="19">
        <f>IFERROR(HLOOKUP(M$7,Inputs!$H$119:$AJ$123,5),0)</f>
        <v>59</v>
      </c>
      <c r="N35" s="19">
        <f>IFERROR(HLOOKUP(N$7,Inputs!$H$119:$AJ$123,5),0)</f>
        <v>60</v>
      </c>
      <c r="O35" s="19">
        <f>IFERROR(HLOOKUP(O$7,Inputs!$H$119:$AJ$123,5),0)</f>
        <v>61</v>
      </c>
      <c r="P35" s="19">
        <f>IFERROR(HLOOKUP(P$7,Inputs!$H$119:$AJ$123,5),0)</f>
        <v>62</v>
      </c>
      <c r="Q35" s="19">
        <f>IFERROR(HLOOKUP(Q$7,Inputs!$H$119:$AJ$123,5),0)</f>
        <v>63</v>
      </c>
      <c r="R35" s="19">
        <f>IFERROR(HLOOKUP(R$7,Inputs!$H$119:$AJ$123,5),0)</f>
        <v>65</v>
      </c>
      <c r="S35" s="19">
        <f>IFERROR(HLOOKUP(S$7,Inputs!$H$119:$AJ$123,5),0)</f>
        <v>66</v>
      </c>
      <c r="T35" s="19">
        <f>IFERROR(HLOOKUP(T$7,Inputs!$H$119:$AJ$123,5),0)</f>
        <v>67</v>
      </c>
      <c r="U35" s="19">
        <f>IFERROR(HLOOKUP(U$7,Inputs!$H$119:$AJ$123,5),0)</f>
        <v>68</v>
      </c>
      <c r="V35" s="19">
        <f>IFERROR(HLOOKUP(V$7,Inputs!$H$119:$AJ$123,5),0)</f>
        <v>69</v>
      </c>
      <c r="W35" s="19">
        <f>IFERROR(HLOOKUP(W$7,Inputs!$H$119:$AJ$123,5),0)</f>
        <v>70</v>
      </c>
      <c r="X35" s="19">
        <f>IFERROR(HLOOKUP(X$7,Inputs!$H$119:$AJ$123,5),0)</f>
        <v>72</v>
      </c>
      <c r="Y35" s="19">
        <f>IFERROR(HLOOKUP(Y$7,Inputs!$H$119:$AJ$123,5),0)</f>
        <v>73</v>
      </c>
      <c r="Z35" s="19">
        <f>IFERROR(HLOOKUP(Z$7,Inputs!$H$119:$AJ$123,5),0)</f>
        <v>74</v>
      </c>
      <c r="AA35" s="19">
        <f>IFERROR(HLOOKUP(AA$7,Inputs!$H$119:$AJ$123,5),0)</f>
        <v>75</v>
      </c>
      <c r="AB35" s="19">
        <f>IFERROR(HLOOKUP(AB$7,Inputs!$H$119:$AJ$123,5),0)</f>
        <v>76</v>
      </c>
      <c r="AC35" s="19">
        <f>IFERROR(HLOOKUP(AC$7,Inputs!$H$119:$AJ$123,5),0)</f>
        <v>78</v>
      </c>
      <c r="AD35" s="19">
        <f>IFERROR(HLOOKUP(AD$7,Inputs!$H$119:$AJ$123,5),0)</f>
        <v>79</v>
      </c>
      <c r="AE35" s="19">
        <f>IFERROR(HLOOKUP(AE$7,Inputs!$H$119:$AJ$123,5),0)</f>
        <v>80</v>
      </c>
      <c r="AF35" s="19">
        <f>IFERROR(HLOOKUP(AF$7,Inputs!$H$119:$AJ$123,5),0)</f>
        <v>81</v>
      </c>
      <c r="AG35" s="19">
        <f>IFERROR(HLOOKUP(AG$7,Inputs!$H$119:$AJ$123,5),0)</f>
        <v>82</v>
      </c>
      <c r="AH35" s="19">
        <f>IFERROR(HLOOKUP(AH$7,Inputs!$H$119:$AJ$123,5),0)</f>
        <v>84</v>
      </c>
      <c r="AI35" s="19">
        <f>IFERROR(HLOOKUP(AI$7,Inputs!$H$119:$AJ$123,5),0)</f>
        <v>85</v>
      </c>
      <c r="AJ35" s="19">
        <f>IFERROR(HLOOKUP(AJ$7,Inputs!$H$119:$AJ$123,5),0)</f>
        <v>86</v>
      </c>
      <c r="AK35" s="19">
        <f>IFERROR(HLOOKUP(AK$7,Inputs!$H$119:$AJ$123,5),0)</f>
        <v>87</v>
      </c>
      <c r="AL35" s="19">
        <f>IFERROR(HLOOKUP(AL$7,Inputs!$H$119:$AJ$123,5),0)</f>
        <v>88</v>
      </c>
      <c r="AM35" s="19">
        <f>IFERROR(HLOOKUP(AM$7,Inputs!$H$119:$AJ$123,5),0)</f>
        <v>88</v>
      </c>
      <c r="AN35" s="19">
        <f>IFERROR(HLOOKUP(AN$7,Inputs!$H$119:$AJ$123,5),0)</f>
        <v>88</v>
      </c>
      <c r="AO35" s="19">
        <f>IFERROR(HLOOKUP(AO$7,Inputs!$H$119:$AJ$123,5),0)</f>
        <v>88</v>
      </c>
      <c r="AP35" s="19">
        <f>IFERROR(HLOOKUP(AP$7,Inputs!$H$119:$AJ$123,5),0)</f>
        <v>88</v>
      </c>
      <c r="AQ35" s="19">
        <f>IFERROR(HLOOKUP(AQ$7,Inputs!$H$119:$AJ$123,5),0)</f>
        <v>88</v>
      </c>
      <c r="AR35" s="19">
        <f>IFERROR(HLOOKUP(AR$7,Inputs!$H$119:$AJ$123,5),0)</f>
        <v>88</v>
      </c>
    </row>
    <row r="36" spans="1:44" ht="15">
      <c r="A36" s="2"/>
      <c r="B36" s="1" t="s">
        <v>286</v>
      </c>
      <c r="C36" s="22" t="s">
        <v>288</v>
      </c>
      <c r="D36" s="19">
        <f>SUM(F36:AR36)</f>
        <v>31732.821965217387</v>
      </c>
      <c r="F36" s="19">
        <f t="shared" ref="F36:J36" si="17">F32*F35</f>
        <v>0</v>
      </c>
      <c r="G36" s="19">
        <f t="shared" si="17"/>
        <v>0</v>
      </c>
      <c r="H36" s="19">
        <f t="shared" si="17"/>
        <v>0</v>
      </c>
      <c r="I36" s="19">
        <f t="shared" si="17"/>
        <v>0</v>
      </c>
      <c r="J36" s="19">
        <f t="shared" si="17"/>
        <v>0</v>
      </c>
      <c r="K36" s="19">
        <f>K32*K35</f>
        <v>333.92025000000001</v>
      </c>
      <c r="L36" s="19">
        <f t="shared" ref="L36:AR36" si="18">L32*L35</f>
        <v>361.12338260869564</v>
      </c>
      <c r="M36" s="19">
        <f t="shared" si="18"/>
        <v>389.06254565217387</v>
      </c>
      <c r="N36" s="19">
        <f t="shared" si="18"/>
        <v>417.73773913043476</v>
      </c>
      <c r="O36" s="19">
        <f t="shared" si="18"/>
        <v>447.1489630434782</v>
      </c>
      <c r="P36" s="19">
        <f t="shared" si="18"/>
        <v>477.29621739130425</v>
      </c>
      <c r="Q36" s="19">
        <f t="shared" si="18"/>
        <v>508.17950217391297</v>
      </c>
      <c r="R36" s="19">
        <f t="shared" si="18"/>
        <v>548.23317391304329</v>
      </c>
      <c r="S36" s="19">
        <f t="shared" si="18"/>
        <v>580.9565347826084</v>
      </c>
      <c r="T36" s="19">
        <f t="shared" si="18"/>
        <v>614.41592608695623</v>
      </c>
      <c r="U36" s="19">
        <f t="shared" si="18"/>
        <v>648.61134782608667</v>
      </c>
      <c r="V36" s="19">
        <f t="shared" si="18"/>
        <v>683.54279999999972</v>
      </c>
      <c r="W36" s="19">
        <f t="shared" si="18"/>
        <v>719.21028260869537</v>
      </c>
      <c r="X36" s="19">
        <f t="shared" si="18"/>
        <v>766.25624347826044</v>
      </c>
      <c r="Y36" s="19">
        <f t="shared" si="18"/>
        <v>803.76380217391261</v>
      </c>
      <c r="Z36" s="19">
        <f t="shared" si="18"/>
        <v>842.00739130434727</v>
      </c>
      <c r="AA36" s="19">
        <f t="shared" si="18"/>
        <v>880.98701086956476</v>
      </c>
      <c r="AB36" s="19">
        <f t="shared" si="18"/>
        <v>920.70266086956485</v>
      </c>
      <c r="AC36" s="19">
        <f t="shared" si="18"/>
        <v>973.636865217391</v>
      </c>
      <c r="AD36" s="19">
        <f t="shared" si="18"/>
        <v>1015.1925913043475</v>
      </c>
      <c r="AE36" s="19">
        <f t="shared" si="18"/>
        <v>1057.4843478260866</v>
      </c>
      <c r="AF36" s="19">
        <f t="shared" si="18"/>
        <v>1100.5121347826087</v>
      </c>
      <c r="AG36" s="19">
        <f t="shared" si="18"/>
        <v>1144.2759521739131</v>
      </c>
      <c r="AH36" s="19">
        <f t="shared" si="18"/>
        <v>1203.0983999999999</v>
      </c>
      <c r="AI36" s="19">
        <f t="shared" si="18"/>
        <v>1248.7022934782608</v>
      </c>
      <c r="AJ36" s="19">
        <f t="shared" si="18"/>
        <v>1295.0422173913046</v>
      </c>
      <c r="AK36" s="19">
        <f t="shared" si="18"/>
        <v>1342.1181717391307</v>
      </c>
      <c r="AL36" s="19">
        <f t="shared" si="18"/>
        <v>1389.9301565217395</v>
      </c>
      <c r="AM36" s="19">
        <f t="shared" si="18"/>
        <v>1422.3154956521744</v>
      </c>
      <c r="AN36" s="19">
        <f t="shared" si="18"/>
        <v>1454.700834782609</v>
      </c>
      <c r="AO36" s="19">
        <f t="shared" si="18"/>
        <v>1487.0861739130439</v>
      </c>
      <c r="AP36" s="19">
        <f t="shared" si="18"/>
        <v>1519.471513043479</v>
      </c>
      <c r="AQ36" s="19">
        <f t="shared" si="18"/>
        <v>1551.8568521739139</v>
      </c>
      <c r="AR36" s="19">
        <f t="shared" si="18"/>
        <v>1584.2421913043486</v>
      </c>
    </row>
    <row r="37" spans="1:44" ht="15">
      <c r="A37" s="2"/>
      <c r="C37" s="22"/>
      <c r="D37" s="18"/>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row>
    <row r="38" spans="1:44" ht="15">
      <c r="A38" s="2" t="s">
        <v>158</v>
      </c>
      <c r="C38" s="22"/>
      <c r="D38" s="18"/>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row>
    <row r="39" spans="1:44" ht="15">
      <c r="B39" s="2" t="s">
        <v>153</v>
      </c>
      <c r="C39" s="87"/>
      <c r="D39" s="86"/>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row>
    <row r="40" spans="1:44">
      <c r="B40" s="1" t="s">
        <v>159</v>
      </c>
      <c r="C40" s="87" t="s">
        <v>156</v>
      </c>
      <c r="D40" s="105">
        <f>Inputs!E103</f>
        <v>3.12</v>
      </c>
      <c r="F40" s="109">
        <f t="shared" ref="F40:AR40" si="19">IF(F$7=$D$41,$D$40,0)</f>
        <v>0</v>
      </c>
      <c r="G40" s="109">
        <f t="shared" si="19"/>
        <v>0</v>
      </c>
      <c r="H40" s="109">
        <f t="shared" si="19"/>
        <v>0</v>
      </c>
      <c r="I40" s="109">
        <f t="shared" si="19"/>
        <v>0</v>
      </c>
      <c r="J40" s="109">
        <f t="shared" si="19"/>
        <v>0</v>
      </c>
      <c r="K40" s="109">
        <f t="shared" si="19"/>
        <v>3.12</v>
      </c>
      <c r="L40" s="109">
        <f t="shared" si="19"/>
        <v>0</v>
      </c>
      <c r="M40" s="109">
        <f t="shared" si="19"/>
        <v>0</v>
      </c>
      <c r="N40" s="109">
        <f t="shared" si="19"/>
        <v>0</v>
      </c>
      <c r="O40" s="109">
        <f t="shared" si="19"/>
        <v>0</v>
      </c>
      <c r="P40" s="109">
        <f t="shared" si="19"/>
        <v>0</v>
      </c>
      <c r="Q40" s="109">
        <f t="shared" si="19"/>
        <v>0</v>
      </c>
      <c r="R40" s="109">
        <f t="shared" si="19"/>
        <v>0</v>
      </c>
      <c r="S40" s="109">
        <f t="shared" si="19"/>
        <v>0</v>
      </c>
      <c r="T40" s="109">
        <f t="shared" si="19"/>
        <v>0</v>
      </c>
      <c r="U40" s="109">
        <f t="shared" si="19"/>
        <v>0</v>
      </c>
      <c r="V40" s="109">
        <f t="shared" si="19"/>
        <v>0</v>
      </c>
      <c r="W40" s="109">
        <f t="shared" si="19"/>
        <v>0</v>
      </c>
      <c r="X40" s="109">
        <f t="shared" si="19"/>
        <v>0</v>
      </c>
      <c r="Y40" s="109">
        <f t="shared" si="19"/>
        <v>0</v>
      </c>
      <c r="Z40" s="109">
        <f t="shared" si="19"/>
        <v>0</v>
      </c>
      <c r="AA40" s="109">
        <f t="shared" si="19"/>
        <v>0</v>
      </c>
      <c r="AB40" s="109">
        <f t="shared" si="19"/>
        <v>0</v>
      </c>
      <c r="AC40" s="109">
        <f t="shared" si="19"/>
        <v>0</v>
      </c>
      <c r="AD40" s="109">
        <f t="shared" si="19"/>
        <v>0</v>
      </c>
      <c r="AE40" s="109">
        <f t="shared" si="19"/>
        <v>0</v>
      </c>
      <c r="AF40" s="109">
        <f t="shared" si="19"/>
        <v>0</v>
      </c>
      <c r="AG40" s="109">
        <f t="shared" si="19"/>
        <v>0</v>
      </c>
      <c r="AH40" s="109">
        <f t="shared" si="19"/>
        <v>0</v>
      </c>
      <c r="AI40" s="109">
        <f t="shared" si="19"/>
        <v>0</v>
      </c>
      <c r="AJ40" s="109">
        <f t="shared" si="19"/>
        <v>0</v>
      </c>
      <c r="AK40" s="109">
        <f t="shared" si="19"/>
        <v>0</v>
      </c>
      <c r="AL40" s="109">
        <f t="shared" si="19"/>
        <v>0</v>
      </c>
      <c r="AM40" s="109">
        <f t="shared" si="19"/>
        <v>0</v>
      </c>
      <c r="AN40" s="109">
        <f t="shared" si="19"/>
        <v>0</v>
      </c>
      <c r="AO40" s="109">
        <f t="shared" si="19"/>
        <v>0</v>
      </c>
      <c r="AP40" s="109">
        <f t="shared" si="19"/>
        <v>0</v>
      </c>
      <c r="AQ40" s="109">
        <f t="shared" si="19"/>
        <v>0</v>
      </c>
      <c r="AR40" s="109">
        <f t="shared" si="19"/>
        <v>0</v>
      </c>
    </row>
    <row r="41" spans="1:44">
      <c r="B41" s="1" t="s">
        <v>155</v>
      </c>
      <c r="C41" s="87" t="s">
        <v>112</v>
      </c>
      <c r="D41" s="23">
        <f>Inputs!E104</f>
        <v>2023</v>
      </c>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row>
    <row r="42" spans="1:44">
      <c r="B42" s="1" t="s">
        <v>157</v>
      </c>
      <c r="C42" s="87" t="s">
        <v>156</v>
      </c>
      <c r="D42" s="105">
        <f>Inputs!E105</f>
        <v>7.6300000000000008</v>
      </c>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row>
    <row r="43" spans="1:44">
      <c r="B43" s="1" t="s">
        <v>157</v>
      </c>
      <c r="C43" s="87" t="s">
        <v>112</v>
      </c>
      <c r="D43" s="23">
        <f>Inputs!E106</f>
        <v>2046</v>
      </c>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row>
    <row r="44" spans="1:44">
      <c r="B44" s="1" t="s">
        <v>257</v>
      </c>
      <c r="C44" s="87" t="s">
        <v>156</v>
      </c>
      <c r="D44" s="18">
        <f>(D42-D40)/(D43-D41)</f>
        <v>0.19608695652173916</v>
      </c>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row>
    <row r="45" spans="1:44">
      <c r="B45" s="1" t="s">
        <v>258</v>
      </c>
      <c r="C45" s="87" t="s">
        <v>259</v>
      </c>
      <c r="D45" s="20"/>
      <c r="F45" s="19">
        <f t="shared" ref="F45:AR45" si="20">IF(F$7&gt;$D$41,1,0)</f>
        <v>0</v>
      </c>
      <c r="G45" s="19">
        <f t="shared" si="20"/>
        <v>0</v>
      </c>
      <c r="H45" s="19">
        <f t="shared" si="20"/>
        <v>0</v>
      </c>
      <c r="I45" s="19">
        <f t="shared" si="20"/>
        <v>0</v>
      </c>
      <c r="J45" s="19">
        <f t="shared" si="20"/>
        <v>0</v>
      </c>
      <c r="K45" s="19">
        <f t="shared" si="20"/>
        <v>0</v>
      </c>
      <c r="L45" s="19">
        <f t="shared" si="20"/>
        <v>1</v>
      </c>
      <c r="M45" s="19">
        <f t="shared" si="20"/>
        <v>1</v>
      </c>
      <c r="N45" s="19">
        <f t="shared" si="20"/>
        <v>1</v>
      </c>
      <c r="O45" s="19">
        <f t="shared" si="20"/>
        <v>1</v>
      </c>
      <c r="P45" s="19">
        <f t="shared" si="20"/>
        <v>1</v>
      </c>
      <c r="Q45" s="19">
        <f t="shared" si="20"/>
        <v>1</v>
      </c>
      <c r="R45" s="19">
        <f t="shared" si="20"/>
        <v>1</v>
      </c>
      <c r="S45" s="19">
        <f t="shared" si="20"/>
        <v>1</v>
      </c>
      <c r="T45" s="19">
        <f t="shared" si="20"/>
        <v>1</v>
      </c>
      <c r="U45" s="19">
        <f t="shared" si="20"/>
        <v>1</v>
      </c>
      <c r="V45" s="19">
        <f t="shared" si="20"/>
        <v>1</v>
      </c>
      <c r="W45" s="19">
        <f t="shared" si="20"/>
        <v>1</v>
      </c>
      <c r="X45" s="19">
        <f t="shared" si="20"/>
        <v>1</v>
      </c>
      <c r="Y45" s="19">
        <f t="shared" si="20"/>
        <v>1</v>
      </c>
      <c r="Z45" s="19">
        <f t="shared" si="20"/>
        <v>1</v>
      </c>
      <c r="AA45" s="19">
        <f t="shared" si="20"/>
        <v>1</v>
      </c>
      <c r="AB45" s="19">
        <f t="shared" si="20"/>
        <v>1</v>
      </c>
      <c r="AC45" s="19">
        <f t="shared" si="20"/>
        <v>1</v>
      </c>
      <c r="AD45" s="19">
        <f t="shared" si="20"/>
        <v>1</v>
      </c>
      <c r="AE45" s="19">
        <f t="shared" si="20"/>
        <v>1</v>
      </c>
      <c r="AF45" s="19">
        <f t="shared" si="20"/>
        <v>1</v>
      </c>
      <c r="AG45" s="19">
        <f t="shared" si="20"/>
        <v>1</v>
      </c>
      <c r="AH45" s="19">
        <f t="shared" si="20"/>
        <v>1</v>
      </c>
      <c r="AI45" s="19">
        <f t="shared" si="20"/>
        <v>1</v>
      </c>
      <c r="AJ45" s="19">
        <f t="shared" si="20"/>
        <v>1</v>
      </c>
      <c r="AK45" s="19">
        <f t="shared" si="20"/>
        <v>1</v>
      </c>
      <c r="AL45" s="19">
        <f t="shared" si="20"/>
        <v>1</v>
      </c>
      <c r="AM45" s="19">
        <f t="shared" si="20"/>
        <v>1</v>
      </c>
      <c r="AN45" s="19">
        <f t="shared" si="20"/>
        <v>1</v>
      </c>
      <c r="AO45" s="19">
        <f t="shared" si="20"/>
        <v>1</v>
      </c>
      <c r="AP45" s="19">
        <f t="shared" si="20"/>
        <v>1</v>
      </c>
      <c r="AQ45" s="19">
        <f t="shared" si="20"/>
        <v>1</v>
      </c>
      <c r="AR45" s="19">
        <f t="shared" si="20"/>
        <v>1</v>
      </c>
    </row>
    <row r="46" spans="1:44" ht="15">
      <c r="A46" s="2"/>
      <c r="B46" s="1" t="s">
        <v>280</v>
      </c>
      <c r="C46" s="87" t="s">
        <v>156</v>
      </c>
      <c r="D46" s="105">
        <f>SUM(F46:AR46)</f>
        <v>216.08478260869578</v>
      </c>
      <c r="F46" s="105">
        <f t="shared" ref="F46:J46" si="21">E46+F40+F45*$D$44</f>
        <v>0</v>
      </c>
      <c r="G46" s="105">
        <f t="shared" si="21"/>
        <v>0</v>
      </c>
      <c r="H46" s="105">
        <f t="shared" si="21"/>
        <v>0</v>
      </c>
      <c r="I46" s="105">
        <f t="shared" si="21"/>
        <v>0</v>
      </c>
      <c r="J46" s="105">
        <f t="shared" si="21"/>
        <v>0</v>
      </c>
      <c r="K46" s="105">
        <f>J46+K40+K45*$D$44</f>
        <v>3.12</v>
      </c>
      <c r="L46" s="105">
        <f t="shared" ref="L46:AR46" si="22">K46+L40+L45*$D$44</f>
        <v>3.3160869565217395</v>
      </c>
      <c r="M46" s="105">
        <f t="shared" si="22"/>
        <v>3.5121739130434788</v>
      </c>
      <c r="N46" s="105">
        <f t="shared" si="22"/>
        <v>3.7082608695652182</v>
      </c>
      <c r="O46" s="105">
        <f t="shared" si="22"/>
        <v>3.9043478260869575</v>
      </c>
      <c r="P46" s="105">
        <f t="shared" si="22"/>
        <v>4.1004347826086969</v>
      </c>
      <c r="Q46" s="105">
        <f t="shared" si="22"/>
        <v>4.2965217391304362</v>
      </c>
      <c r="R46" s="105">
        <f t="shared" si="22"/>
        <v>4.4926086956521756</v>
      </c>
      <c r="S46" s="105">
        <f t="shared" si="22"/>
        <v>4.6886956521739149</v>
      </c>
      <c r="T46" s="105">
        <f t="shared" si="22"/>
        <v>4.8847826086956543</v>
      </c>
      <c r="U46" s="105">
        <f t="shared" si="22"/>
        <v>5.0808695652173936</v>
      </c>
      <c r="V46" s="105">
        <f t="shared" si="22"/>
        <v>5.276956521739133</v>
      </c>
      <c r="W46" s="105">
        <f t="shared" si="22"/>
        <v>5.4730434782608723</v>
      </c>
      <c r="X46" s="105">
        <f t="shared" si="22"/>
        <v>5.6691304347826117</v>
      </c>
      <c r="Y46" s="105">
        <f t="shared" si="22"/>
        <v>5.865217391304351</v>
      </c>
      <c r="Z46" s="105">
        <f t="shared" si="22"/>
        <v>6.0613043478260904</v>
      </c>
      <c r="AA46" s="105">
        <f t="shared" si="22"/>
        <v>6.2573913043478298</v>
      </c>
      <c r="AB46" s="105">
        <f t="shared" si="22"/>
        <v>6.4534782608695691</v>
      </c>
      <c r="AC46" s="105">
        <f t="shared" si="22"/>
        <v>6.6495652173913085</v>
      </c>
      <c r="AD46" s="105">
        <f t="shared" si="22"/>
        <v>6.8456521739130478</v>
      </c>
      <c r="AE46" s="105">
        <f t="shared" si="22"/>
        <v>7.0417391304347872</v>
      </c>
      <c r="AF46" s="105">
        <f t="shared" si="22"/>
        <v>7.2378260869565265</v>
      </c>
      <c r="AG46" s="105">
        <f t="shared" si="22"/>
        <v>7.4339130434782659</v>
      </c>
      <c r="AH46" s="105">
        <f t="shared" si="22"/>
        <v>7.6300000000000052</v>
      </c>
      <c r="AI46" s="105">
        <f t="shared" si="22"/>
        <v>7.8260869565217446</v>
      </c>
      <c r="AJ46" s="105">
        <f t="shared" si="22"/>
        <v>8.022173913043483</v>
      </c>
      <c r="AK46" s="105">
        <f t="shared" si="22"/>
        <v>8.2182608695652224</v>
      </c>
      <c r="AL46" s="105">
        <f t="shared" si="22"/>
        <v>8.4143478260869617</v>
      </c>
      <c r="AM46" s="105">
        <f t="shared" si="22"/>
        <v>8.6104347826087011</v>
      </c>
      <c r="AN46" s="105">
        <f t="shared" si="22"/>
        <v>8.8065217391304405</v>
      </c>
      <c r="AO46" s="105">
        <f t="shared" si="22"/>
        <v>9.0026086956521798</v>
      </c>
      <c r="AP46" s="105">
        <f t="shared" si="22"/>
        <v>9.1986956521739192</v>
      </c>
      <c r="AQ46" s="105">
        <f t="shared" si="22"/>
        <v>9.3947826086956585</v>
      </c>
      <c r="AR46" s="105">
        <f t="shared" si="22"/>
        <v>9.5908695652173979</v>
      </c>
    </row>
    <row r="47" spans="1:44" ht="15">
      <c r="A47" s="2"/>
      <c r="B47" s="1" t="s">
        <v>281</v>
      </c>
      <c r="C47" s="87" t="s">
        <v>282</v>
      </c>
      <c r="D47" s="105">
        <f>Inputs!$E$33</f>
        <v>1000</v>
      </c>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row>
    <row r="48" spans="1:44" ht="15">
      <c r="A48" s="2"/>
      <c r="B48" s="1" t="s">
        <v>283</v>
      </c>
      <c r="C48" s="87" t="s">
        <v>284</v>
      </c>
      <c r="D48" s="105">
        <f>Inputs!$E$32</f>
        <v>365</v>
      </c>
      <c r="F48" s="105"/>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5"/>
      <c r="AR48" s="105"/>
    </row>
    <row r="49" spans="1:44" ht="15">
      <c r="A49" s="2"/>
      <c r="B49" s="1" t="s">
        <v>280</v>
      </c>
      <c r="C49" s="87" t="s">
        <v>285</v>
      </c>
      <c r="D49" s="105">
        <f>SUM(F49:AR49)</f>
        <v>78.870945652173958</v>
      </c>
      <c r="F49" s="105">
        <f t="shared" ref="F49:J49" si="23">F46*$D$48/$D$47</f>
        <v>0</v>
      </c>
      <c r="G49" s="105">
        <f t="shared" si="23"/>
        <v>0</v>
      </c>
      <c r="H49" s="105">
        <f t="shared" si="23"/>
        <v>0</v>
      </c>
      <c r="I49" s="105">
        <f t="shared" si="23"/>
        <v>0</v>
      </c>
      <c r="J49" s="105">
        <f t="shared" si="23"/>
        <v>0</v>
      </c>
      <c r="K49" s="105">
        <f>K46*$D$48/$D$47</f>
        <v>1.1388</v>
      </c>
      <c r="L49" s="105">
        <f t="shared" ref="L49:AR49" si="24">L46*$D$48/$D$47</f>
        <v>1.2103717391304349</v>
      </c>
      <c r="M49" s="105">
        <f t="shared" si="24"/>
        <v>1.2819434782608699</v>
      </c>
      <c r="N49" s="105">
        <f t="shared" si="24"/>
        <v>1.3535152173913045</v>
      </c>
      <c r="O49" s="105">
        <f t="shared" si="24"/>
        <v>1.4250869565217394</v>
      </c>
      <c r="P49" s="105">
        <f t="shared" si="24"/>
        <v>1.4966586956521744</v>
      </c>
      <c r="Q49" s="105">
        <f t="shared" si="24"/>
        <v>1.568230434782609</v>
      </c>
      <c r="R49" s="105">
        <f t="shared" si="24"/>
        <v>1.6398021739130439</v>
      </c>
      <c r="S49" s="105">
        <f t="shared" si="24"/>
        <v>1.7113739130434791</v>
      </c>
      <c r="T49" s="105">
        <f t="shared" si="24"/>
        <v>1.782945652173914</v>
      </c>
      <c r="U49" s="105">
        <f t="shared" si="24"/>
        <v>1.8545173913043487</v>
      </c>
      <c r="V49" s="105">
        <f t="shared" si="24"/>
        <v>1.9260891304347836</v>
      </c>
      <c r="W49" s="105">
        <f t="shared" si="24"/>
        <v>1.9976608695652185</v>
      </c>
      <c r="X49" s="105">
        <f t="shared" si="24"/>
        <v>2.0692326086956534</v>
      </c>
      <c r="Y49" s="105">
        <f t="shared" si="24"/>
        <v>2.1408043478260881</v>
      </c>
      <c r="Z49" s="105">
        <f t="shared" si="24"/>
        <v>2.2123760869565232</v>
      </c>
      <c r="AA49" s="105">
        <f t="shared" si="24"/>
        <v>2.2839478260869579</v>
      </c>
      <c r="AB49" s="105">
        <f t="shared" si="24"/>
        <v>2.355519565217393</v>
      </c>
      <c r="AC49" s="105">
        <f t="shared" si="24"/>
        <v>2.4270913043478277</v>
      </c>
      <c r="AD49" s="105">
        <f t="shared" si="24"/>
        <v>2.4986630434782624</v>
      </c>
      <c r="AE49" s="105">
        <f t="shared" si="24"/>
        <v>2.5702347826086975</v>
      </c>
      <c r="AF49" s="105">
        <f t="shared" si="24"/>
        <v>2.6418065217391322</v>
      </c>
      <c r="AG49" s="105">
        <f t="shared" si="24"/>
        <v>2.7133782608695669</v>
      </c>
      <c r="AH49" s="105">
        <f t="shared" si="24"/>
        <v>2.784950000000002</v>
      </c>
      <c r="AI49" s="105">
        <f t="shared" si="24"/>
        <v>2.8565217391304367</v>
      </c>
      <c r="AJ49" s="105">
        <f t="shared" si="24"/>
        <v>2.9280934782608714</v>
      </c>
      <c r="AK49" s="105">
        <f t="shared" si="24"/>
        <v>2.9996652173913061</v>
      </c>
      <c r="AL49" s="105">
        <f t="shared" si="24"/>
        <v>3.0712369565217408</v>
      </c>
      <c r="AM49" s="105">
        <f t="shared" si="24"/>
        <v>3.1428086956521759</v>
      </c>
      <c r="AN49" s="105">
        <f t="shared" si="24"/>
        <v>3.2143804347826106</v>
      </c>
      <c r="AO49" s="105">
        <f t="shared" si="24"/>
        <v>3.2859521739130453</v>
      </c>
      <c r="AP49" s="105">
        <f t="shared" si="24"/>
        <v>3.3575239130434809</v>
      </c>
      <c r="AQ49" s="105">
        <f t="shared" si="24"/>
        <v>3.4290956521739155</v>
      </c>
      <c r="AR49" s="105">
        <f t="shared" si="24"/>
        <v>3.5006673913043502</v>
      </c>
    </row>
    <row r="50" spans="1:44" ht="15">
      <c r="A50" s="2"/>
      <c r="C50" s="87"/>
      <c r="D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5"/>
      <c r="AR50" s="105"/>
    </row>
    <row r="51" spans="1:44" ht="15">
      <c r="B51" s="2" t="s">
        <v>286</v>
      </c>
      <c r="C51" s="87"/>
      <c r="D51" s="105"/>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row>
    <row r="52" spans="1:44">
      <c r="B52" s="1" t="s">
        <v>287</v>
      </c>
      <c r="C52" s="87" t="s">
        <v>165</v>
      </c>
      <c r="D52" s="110">
        <f>Inputs!$E$71</f>
        <v>18.8</v>
      </c>
      <c r="F52" s="19">
        <f>IFERROR(HLOOKUP(F$7,Inputs!$H$119:$AJ$123,2),0)</f>
        <v>0</v>
      </c>
      <c r="G52" s="19">
        <f>IFERROR(HLOOKUP(G$7,Inputs!$H$119:$AJ$123,2),0)</f>
        <v>0</v>
      </c>
      <c r="H52" s="19">
        <f>IFERROR(HLOOKUP(H$7,Inputs!$H$119:$AJ$123,2),0)</f>
        <v>0</v>
      </c>
      <c r="I52" s="19">
        <f>IFERROR(HLOOKUP(I$7,Inputs!$H$119:$AJ$123,2),0)</f>
        <v>0</v>
      </c>
      <c r="J52" s="19">
        <f>IFERROR(HLOOKUP(J$7,Inputs!$H$119:$AJ$123,2),0)</f>
        <v>16600</v>
      </c>
      <c r="K52" s="19">
        <f>IFERROR(HLOOKUP(K$7,Inputs!$H$119:$AJ$123,2),0)</f>
        <v>16800</v>
      </c>
      <c r="L52" s="19">
        <f>IFERROR(HLOOKUP(L$7,Inputs!$H$119:$AJ$123,2),0)</f>
        <v>17000</v>
      </c>
      <c r="M52" s="19">
        <f>IFERROR(HLOOKUP(M$7,Inputs!$H$119:$AJ$123,2),0)</f>
        <v>17200</v>
      </c>
      <c r="N52" s="19">
        <f>IFERROR(HLOOKUP(N$7,Inputs!$H$119:$AJ$123,2),0)</f>
        <v>17500</v>
      </c>
      <c r="O52" s="19">
        <f>IFERROR(HLOOKUP(O$7,Inputs!$H$119:$AJ$123,2),0)</f>
        <v>17900</v>
      </c>
      <c r="P52" s="19">
        <f>IFERROR(HLOOKUP(P$7,Inputs!$H$119:$AJ$123,2),0)</f>
        <v>18200</v>
      </c>
      <c r="Q52" s="19">
        <f>IFERROR(HLOOKUP(Q$7,Inputs!$H$119:$AJ$123,2),0)</f>
        <v>18600</v>
      </c>
      <c r="R52" s="19">
        <f>IFERROR(HLOOKUP(R$7,Inputs!$H$119:$AJ$123,2),0)</f>
        <v>18900</v>
      </c>
      <c r="S52" s="19">
        <f>IFERROR(HLOOKUP(S$7,Inputs!$H$119:$AJ$123,2),0)</f>
        <v>18900</v>
      </c>
      <c r="T52" s="19">
        <f>IFERROR(HLOOKUP(T$7,Inputs!$H$119:$AJ$123,2),0)</f>
        <v>18900</v>
      </c>
      <c r="U52" s="19">
        <f>IFERROR(HLOOKUP(U$7,Inputs!$H$119:$AJ$123,2),0)</f>
        <v>18900</v>
      </c>
      <c r="V52" s="19">
        <f>IFERROR(HLOOKUP(V$7,Inputs!$H$119:$AJ$123,2),0)</f>
        <v>18900</v>
      </c>
      <c r="W52" s="19">
        <f>IFERROR(HLOOKUP(W$7,Inputs!$H$119:$AJ$123,2),0)</f>
        <v>18900</v>
      </c>
      <c r="X52" s="19">
        <f>IFERROR(HLOOKUP(X$7,Inputs!$H$119:$AJ$123,2),0)</f>
        <v>18900</v>
      </c>
      <c r="Y52" s="19">
        <f>IFERROR(HLOOKUP(Y$7,Inputs!$H$119:$AJ$123,2),0)</f>
        <v>18900</v>
      </c>
      <c r="Z52" s="19">
        <f>IFERROR(HLOOKUP(Z$7,Inputs!$H$119:$AJ$123,2),0)</f>
        <v>18900</v>
      </c>
      <c r="AA52" s="19">
        <f>IFERROR(HLOOKUP(AA$7,Inputs!$H$119:$AJ$123,2),0)</f>
        <v>18900</v>
      </c>
      <c r="AB52" s="19">
        <f>IFERROR(HLOOKUP(AB$7,Inputs!$H$119:$AJ$123,2),0)</f>
        <v>18900</v>
      </c>
      <c r="AC52" s="19">
        <f>IFERROR(HLOOKUP(AC$7,Inputs!$H$119:$AJ$123,2),0)</f>
        <v>18900</v>
      </c>
      <c r="AD52" s="19">
        <f>IFERROR(HLOOKUP(AD$7,Inputs!$H$119:$AJ$123,2),0)</f>
        <v>18900</v>
      </c>
      <c r="AE52" s="19">
        <f>IFERROR(HLOOKUP(AE$7,Inputs!$H$119:$AJ$123,2),0)</f>
        <v>18900</v>
      </c>
      <c r="AF52" s="19">
        <f>IFERROR(HLOOKUP(AF$7,Inputs!$H$119:$AJ$123,2),0)</f>
        <v>18900</v>
      </c>
      <c r="AG52" s="19">
        <f>IFERROR(HLOOKUP(AG$7,Inputs!$H$119:$AJ$123,2),0)</f>
        <v>18900</v>
      </c>
      <c r="AH52" s="19">
        <f>IFERROR(HLOOKUP(AH$7,Inputs!$H$119:$AJ$123,2),0)</f>
        <v>18900</v>
      </c>
      <c r="AI52" s="19">
        <f>IFERROR(HLOOKUP(AI$7,Inputs!$H$119:$AJ$123,2),0)</f>
        <v>18900</v>
      </c>
      <c r="AJ52" s="19">
        <f>IFERROR(HLOOKUP(AJ$7,Inputs!$H$119:$AJ$123,2),0)</f>
        <v>18900</v>
      </c>
      <c r="AK52" s="19">
        <f>IFERROR(HLOOKUP(AK$7,Inputs!$H$119:$AJ$123,2),0)</f>
        <v>18900</v>
      </c>
      <c r="AL52" s="19">
        <f>IFERROR(HLOOKUP(AL$7,Inputs!$H$119:$AJ$123,2),0)</f>
        <v>18900</v>
      </c>
      <c r="AM52" s="19">
        <f>IFERROR(HLOOKUP(AM$7,Inputs!$H$119:$AJ$123,2),0)</f>
        <v>18900</v>
      </c>
      <c r="AN52" s="19">
        <f>IFERROR(HLOOKUP(AN$7,Inputs!$H$119:$AJ$123,2),0)</f>
        <v>18900</v>
      </c>
      <c r="AO52" s="19">
        <f>IFERROR(HLOOKUP(AO$7,Inputs!$H$119:$AJ$123,2),0)</f>
        <v>18900</v>
      </c>
      <c r="AP52" s="19">
        <f>IFERROR(HLOOKUP(AP$7,Inputs!$H$119:$AJ$123,2),0)</f>
        <v>18900</v>
      </c>
      <c r="AQ52" s="19">
        <f>IFERROR(HLOOKUP(AQ$7,Inputs!$H$119:$AJ$123,2),0)</f>
        <v>18900</v>
      </c>
      <c r="AR52" s="19">
        <f>IFERROR(HLOOKUP(AR$7,Inputs!$H$119:$AJ$123,2),0)</f>
        <v>18900</v>
      </c>
    </row>
    <row r="53" spans="1:44" ht="15">
      <c r="A53" s="2"/>
      <c r="B53" s="1" t="s">
        <v>286</v>
      </c>
      <c r="C53" s="22" t="s">
        <v>288</v>
      </c>
      <c r="D53" s="19">
        <f>SUM(F53:AR53)</f>
        <v>1478952.2441304356</v>
      </c>
      <c r="F53" s="19">
        <f t="shared" ref="F53" si="25">F49*F52</f>
        <v>0</v>
      </c>
      <c r="G53" s="19">
        <f t="shared" ref="G53" si="26">G49*G52</f>
        <v>0</v>
      </c>
      <c r="H53" s="19">
        <f t="shared" ref="H53" si="27">H49*H52</f>
        <v>0</v>
      </c>
      <c r="I53" s="19">
        <f t="shared" ref="I53" si="28">I49*I52</f>
        <v>0</v>
      </c>
      <c r="J53" s="19">
        <f t="shared" ref="J53" si="29">J49*J52</f>
        <v>0</v>
      </c>
      <c r="K53" s="19">
        <f>K49*K52</f>
        <v>19131.84</v>
      </c>
      <c r="L53" s="19">
        <f t="shared" ref="L53" si="30">L49*L52</f>
        <v>20576.319565217393</v>
      </c>
      <c r="M53" s="19">
        <f t="shared" ref="M53" si="31">M49*M52</f>
        <v>22049.427826086961</v>
      </c>
      <c r="N53" s="19">
        <f t="shared" ref="N53" si="32">N49*N52</f>
        <v>23686.516304347828</v>
      </c>
      <c r="O53" s="19">
        <f t="shared" ref="O53" si="33">O49*O52</f>
        <v>25509.056521739138</v>
      </c>
      <c r="P53" s="19">
        <f t="shared" ref="P53" si="34">P49*P52</f>
        <v>27239.188260869574</v>
      </c>
      <c r="Q53" s="19">
        <f t="shared" ref="Q53" si="35">Q49*Q52</f>
        <v>29169.086086956529</v>
      </c>
      <c r="R53" s="19">
        <f t="shared" ref="R53" si="36">R49*R52</f>
        <v>30992.261086956532</v>
      </c>
      <c r="S53" s="19">
        <f t="shared" ref="S53" si="37">S49*S52</f>
        <v>32344.966956521755</v>
      </c>
      <c r="T53" s="19">
        <f t="shared" ref="T53" si="38">T49*T52</f>
        <v>33697.672826086971</v>
      </c>
      <c r="U53" s="19">
        <f t="shared" ref="U53" si="39">U49*U52</f>
        <v>35050.378695652187</v>
      </c>
      <c r="V53" s="19">
        <f t="shared" ref="V53" si="40">V49*V52</f>
        <v>36403.08456521741</v>
      </c>
      <c r="W53" s="19">
        <f t="shared" ref="W53" si="41">W49*W52</f>
        <v>37755.790434782626</v>
      </c>
      <c r="X53" s="19">
        <f t="shared" ref="X53" si="42">X49*X52</f>
        <v>39108.496304347849</v>
      </c>
      <c r="Y53" s="19">
        <f t="shared" ref="Y53" si="43">Y49*Y52</f>
        <v>40461.202173913065</v>
      </c>
      <c r="Z53" s="19">
        <f t="shared" ref="Z53" si="44">Z49*Z52</f>
        <v>41813.908043478288</v>
      </c>
      <c r="AA53" s="19">
        <f t="shared" ref="AA53" si="45">AA49*AA52</f>
        <v>43166.613913043504</v>
      </c>
      <c r="AB53" s="19">
        <f t="shared" ref="AB53" si="46">AB49*AB52</f>
        <v>44519.319782608727</v>
      </c>
      <c r="AC53" s="19">
        <f t="shared" ref="AC53" si="47">AC49*AC52</f>
        <v>45872.025652173943</v>
      </c>
      <c r="AD53" s="19">
        <f t="shared" ref="AD53" si="48">AD49*AD52</f>
        <v>47224.731521739159</v>
      </c>
      <c r="AE53" s="19">
        <f t="shared" ref="AE53" si="49">AE49*AE52</f>
        <v>48577.437391304382</v>
      </c>
      <c r="AF53" s="19">
        <f t="shared" ref="AF53" si="50">AF49*AF52</f>
        <v>49930.143260869598</v>
      </c>
      <c r="AG53" s="19">
        <f t="shared" ref="AG53" si="51">AG49*AG52</f>
        <v>51282.849130434814</v>
      </c>
      <c r="AH53" s="19">
        <f t="shared" ref="AH53" si="52">AH49*AH52</f>
        <v>52635.555000000037</v>
      </c>
      <c r="AI53" s="19">
        <f t="shared" ref="AI53" si="53">AI49*AI52</f>
        <v>53988.260869565253</v>
      </c>
      <c r="AJ53" s="19">
        <f t="shared" ref="AJ53" si="54">AJ49*AJ52</f>
        <v>55340.966739130468</v>
      </c>
      <c r="AK53" s="19">
        <f t="shared" ref="AK53" si="55">AK49*AK52</f>
        <v>56693.672608695684</v>
      </c>
      <c r="AL53" s="19">
        <f t="shared" ref="AL53" si="56">AL49*AL52</f>
        <v>58046.3784782609</v>
      </c>
      <c r="AM53" s="19">
        <f t="shared" ref="AM53" si="57">AM49*AM52</f>
        <v>59399.084347826123</v>
      </c>
      <c r="AN53" s="19">
        <f t="shared" ref="AN53" si="58">AN49*AN52</f>
        <v>60751.790217391339</v>
      </c>
      <c r="AO53" s="19">
        <f t="shared" ref="AO53" si="59">AO49*AO52</f>
        <v>62104.496086956555</v>
      </c>
      <c r="AP53" s="19">
        <f t="shared" ref="AP53" si="60">AP49*AP52</f>
        <v>63457.201956521785</v>
      </c>
      <c r="AQ53" s="19">
        <f t="shared" ref="AQ53" si="61">AQ49*AQ52</f>
        <v>64809.907826087001</v>
      </c>
      <c r="AR53" s="19">
        <f t="shared" ref="AR53" si="62">AR49*AR52</f>
        <v>66162.613695652224</v>
      </c>
    </row>
    <row r="54" spans="1:44">
      <c r="C54" s="22"/>
      <c r="D54" s="86"/>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row>
    <row r="55" spans="1:44" ht="15">
      <c r="A55" s="2" t="s">
        <v>276</v>
      </c>
      <c r="C55" s="87"/>
      <c r="D55" s="86"/>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row>
    <row r="56" spans="1:44">
      <c r="B56" s="1" t="s">
        <v>277</v>
      </c>
      <c r="C56" s="22" t="s">
        <v>267</v>
      </c>
      <c r="D56" s="86">
        <f>SUM(F56:AR56)</f>
        <v>1510685.0660956535</v>
      </c>
      <c r="F56" s="19">
        <f>F36+F53</f>
        <v>0</v>
      </c>
      <c r="G56" s="19">
        <f t="shared" ref="G56:AR56" si="63">G36+G53</f>
        <v>0</v>
      </c>
      <c r="H56" s="19">
        <f t="shared" si="63"/>
        <v>0</v>
      </c>
      <c r="I56" s="19">
        <f t="shared" si="63"/>
        <v>0</v>
      </c>
      <c r="J56" s="19">
        <f t="shared" si="63"/>
        <v>0</v>
      </c>
      <c r="K56" s="19">
        <f t="shared" si="63"/>
        <v>19465.760249999999</v>
      </c>
      <c r="L56" s="19">
        <f t="shared" si="63"/>
        <v>20937.44294782609</v>
      </c>
      <c r="M56" s="19">
        <f t="shared" si="63"/>
        <v>22438.490371739135</v>
      </c>
      <c r="N56" s="19">
        <f t="shared" si="63"/>
        <v>24104.254043478264</v>
      </c>
      <c r="O56" s="19">
        <f t="shared" si="63"/>
        <v>25956.205484782615</v>
      </c>
      <c r="P56" s="19">
        <f t="shared" si="63"/>
        <v>27716.484478260878</v>
      </c>
      <c r="Q56" s="19">
        <f t="shared" si="63"/>
        <v>29677.265589130442</v>
      </c>
      <c r="R56" s="19">
        <f t="shared" si="63"/>
        <v>31540.494260869575</v>
      </c>
      <c r="S56" s="19">
        <f t="shared" si="63"/>
        <v>32925.923491304362</v>
      </c>
      <c r="T56" s="19">
        <f t="shared" si="63"/>
        <v>34312.088752173928</v>
      </c>
      <c r="U56" s="19">
        <f t="shared" si="63"/>
        <v>35698.990043478276</v>
      </c>
      <c r="V56" s="19">
        <f t="shared" si="63"/>
        <v>37086.627365217413</v>
      </c>
      <c r="W56" s="19">
        <f t="shared" si="63"/>
        <v>38475.000717391318</v>
      </c>
      <c r="X56" s="19">
        <f t="shared" si="63"/>
        <v>39874.752547826109</v>
      </c>
      <c r="Y56" s="19">
        <f t="shared" si="63"/>
        <v>41264.965976086976</v>
      </c>
      <c r="Z56" s="19">
        <f t="shared" si="63"/>
        <v>42655.915434782633</v>
      </c>
      <c r="AA56" s="19">
        <f t="shared" si="63"/>
        <v>44047.600923913065</v>
      </c>
      <c r="AB56" s="19">
        <f t="shared" si="63"/>
        <v>45440.022443478294</v>
      </c>
      <c r="AC56" s="19">
        <f t="shared" si="63"/>
        <v>46845.662517391334</v>
      </c>
      <c r="AD56" s="19">
        <f t="shared" si="63"/>
        <v>48239.924113043504</v>
      </c>
      <c r="AE56" s="19">
        <f t="shared" si="63"/>
        <v>49634.92173913047</v>
      </c>
      <c r="AF56" s="19">
        <f t="shared" si="63"/>
        <v>51030.655395652204</v>
      </c>
      <c r="AG56" s="19">
        <f t="shared" si="63"/>
        <v>52427.125082608727</v>
      </c>
      <c r="AH56" s="19">
        <f t="shared" si="63"/>
        <v>53838.653400000039</v>
      </c>
      <c r="AI56" s="19">
        <f t="shared" si="63"/>
        <v>55236.963163043511</v>
      </c>
      <c r="AJ56" s="19">
        <f t="shared" si="63"/>
        <v>56636.008956521771</v>
      </c>
      <c r="AK56" s="19">
        <f t="shared" si="63"/>
        <v>58035.790780434814</v>
      </c>
      <c r="AL56" s="19">
        <f t="shared" si="63"/>
        <v>59436.308634782639</v>
      </c>
      <c r="AM56" s="19">
        <f t="shared" si="63"/>
        <v>60821.399843478299</v>
      </c>
      <c r="AN56" s="19">
        <f t="shared" si="63"/>
        <v>62206.491052173951</v>
      </c>
      <c r="AO56" s="19">
        <f t="shared" si="63"/>
        <v>63591.582260869596</v>
      </c>
      <c r="AP56" s="19">
        <f t="shared" si="63"/>
        <v>64976.673469565263</v>
      </c>
      <c r="AQ56" s="19">
        <f t="shared" si="63"/>
        <v>66361.764678260908</v>
      </c>
      <c r="AR56" s="19">
        <f t="shared" si="63"/>
        <v>67746.855886956575</v>
      </c>
    </row>
    <row r="57" spans="1:44">
      <c r="C57" s="12"/>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row>
    <row r="58" spans="1:44" s="9" customFormat="1">
      <c r="A58" s="8" t="s">
        <v>225</v>
      </c>
      <c r="B58" s="13"/>
      <c r="C58" s="13"/>
    </row>
    <row r="59" spans="1:44" ht="15">
      <c r="A59" s="2" t="s">
        <v>154</v>
      </c>
    </row>
    <row r="60" spans="1:44" ht="15">
      <c r="B60" s="2" t="s">
        <v>153</v>
      </c>
      <c r="C60" s="87"/>
      <c r="D60" s="86"/>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row>
    <row r="61" spans="1:44">
      <c r="B61" s="1" t="s">
        <v>160</v>
      </c>
      <c r="C61" s="87" t="s">
        <v>156</v>
      </c>
      <c r="D61" s="105">
        <f>Inputs!E108</f>
        <v>13.73</v>
      </c>
      <c r="F61" s="109">
        <f t="shared" ref="F61:J61" si="64">IF(F$7=$D62,$D61,0)</f>
        <v>0</v>
      </c>
      <c r="G61" s="109">
        <f t="shared" si="64"/>
        <v>0</v>
      </c>
      <c r="H61" s="109">
        <f t="shared" si="64"/>
        <v>0</v>
      </c>
      <c r="I61" s="109">
        <f t="shared" si="64"/>
        <v>0</v>
      </c>
      <c r="J61" s="109">
        <f t="shared" si="64"/>
        <v>0</v>
      </c>
      <c r="K61" s="109">
        <f>IF(K$7=$D62,$D61,0)</f>
        <v>13.73</v>
      </c>
      <c r="L61" s="109">
        <f t="shared" ref="L61:AR61" si="65">IF(L$7=$D62,$D61,0)</f>
        <v>0</v>
      </c>
      <c r="M61" s="109">
        <f t="shared" si="65"/>
        <v>0</v>
      </c>
      <c r="N61" s="109">
        <f t="shared" si="65"/>
        <v>0</v>
      </c>
      <c r="O61" s="109">
        <f t="shared" si="65"/>
        <v>0</v>
      </c>
      <c r="P61" s="109">
        <f t="shared" si="65"/>
        <v>0</v>
      </c>
      <c r="Q61" s="109">
        <f t="shared" si="65"/>
        <v>0</v>
      </c>
      <c r="R61" s="109">
        <f t="shared" si="65"/>
        <v>0</v>
      </c>
      <c r="S61" s="109">
        <f t="shared" si="65"/>
        <v>0</v>
      </c>
      <c r="T61" s="109">
        <f t="shared" si="65"/>
        <v>0</v>
      </c>
      <c r="U61" s="109">
        <f t="shared" si="65"/>
        <v>0</v>
      </c>
      <c r="V61" s="109">
        <f t="shared" si="65"/>
        <v>0</v>
      </c>
      <c r="W61" s="109">
        <f t="shared" si="65"/>
        <v>0</v>
      </c>
      <c r="X61" s="109">
        <f t="shared" si="65"/>
        <v>0</v>
      </c>
      <c r="Y61" s="109">
        <f t="shared" si="65"/>
        <v>0</v>
      </c>
      <c r="Z61" s="109">
        <f t="shared" si="65"/>
        <v>0</v>
      </c>
      <c r="AA61" s="109">
        <f t="shared" si="65"/>
        <v>0</v>
      </c>
      <c r="AB61" s="109">
        <f t="shared" si="65"/>
        <v>0</v>
      </c>
      <c r="AC61" s="109">
        <f t="shared" si="65"/>
        <v>0</v>
      </c>
      <c r="AD61" s="109">
        <f t="shared" si="65"/>
        <v>0</v>
      </c>
      <c r="AE61" s="109">
        <f t="shared" si="65"/>
        <v>0</v>
      </c>
      <c r="AF61" s="109">
        <f t="shared" si="65"/>
        <v>0</v>
      </c>
      <c r="AG61" s="109">
        <f t="shared" si="65"/>
        <v>0</v>
      </c>
      <c r="AH61" s="109">
        <f t="shared" si="65"/>
        <v>0</v>
      </c>
      <c r="AI61" s="109">
        <f t="shared" si="65"/>
        <v>0</v>
      </c>
      <c r="AJ61" s="109">
        <f t="shared" si="65"/>
        <v>0</v>
      </c>
      <c r="AK61" s="109">
        <f t="shared" si="65"/>
        <v>0</v>
      </c>
      <c r="AL61" s="109">
        <f t="shared" si="65"/>
        <v>0</v>
      </c>
      <c r="AM61" s="109">
        <f t="shared" si="65"/>
        <v>0</v>
      </c>
      <c r="AN61" s="109">
        <f t="shared" si="65"/>
        <v>0</v>
      </c>
      <c r="AO61" s="109">
        <f t="shared" si="65"/>
        <v>0</v>
      </c>
      <c r="AP61" s="109">
        <f t="shared" si="65"/>
        <v>0</v>
      </c>
      <c r="AQ61" s="109">
        <f t="shared" si="65"/>
        <v>0</v>
      </c>
      <c r="AR61" s="109">
        <f t="shared" si="65"/>
        <v>0</v>
      </c>
    </row>
    <row r="62" spans="1:44">
      <c r="B62" s="1" t="s">
        <v>161</v>
      </c>
      <c r="C62" s="87" t="s">
        <v>112</v>
      </c>
      <c r="D62" s="23">
        <f>Inputs!E109</f>
        <v>2023</v>
      </c>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row>
    <row r="63" spans="1:44">
      <c r="B63" s="1" t="s">
        <v>162</v>
      </c>
      <c r="C63" s="87" t="s">
        <v>156</v>
      </c>
      <c r="D63" s="105">
        <f>Inputs!E110</f>
        <v>27.93</v>
      </c>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row>
    <row r="64" spans="1:44">
      <c r="B64" s="1" t="s">
        <v>162</v>
      </c>
      <c r="C64" s="87" t="s">
        <v>112</v>
      </c>
      <c r="D64" s="23">
        <f>Inputs!E111</f>
        <v>2046</v>
      </c>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row>
    <row r="65" spans="1:44">
      <c r="B65" s="1" t="s">
        <v>257</v>
      </c>
      <c r="C65" s="87" t="s">
        <v>156</v>
      </c>
      <c r="D65" s="18">
        <f>(D63-D61)/(D64-D62)</f>
        <v>0.61739130434782608</v>
      </c>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row>
    <row r="66" spans="1:44">
      <c r="B66" s="1" t="s">
        <v>258</v>
      </c>
      <c r="C66" s="87" t="s">
        <v>259</v>
      </c>
      <c r="D66" s="20"/>
      <c r="F66" s="19">
        <f>IF(F$7&gt;$D62,1,0)</f>
        <v>0</v>
      </c>
      <c r="G66" s="19">
        <f t="shared" ref="G66:AR66" si="66">IF(G$7&gt;$D62,1,0)</f>
        <v>0</v>
      </c>
      <c r="H66" s="19">
        <f t="shared" si="66"/>
        <v>0</v>
      </c>
      <c r="I66" s="19">
        <f t="shared" si="66"/>
        <v>0</v>
      </c>
      <c r="J66" s="19">
        <f t="shared" si="66"/>
        <v>0</v>
      </c>
      <c r="K66" s="19">
        <f t="shared" si="66"/>
        <v>0</v>
      </c>
      <c r="L66" s="19">
        <f t="shared" si="66"/>
        <v>1</v>
      </c>
      <c r="M66" s="19">
        <f t="shared" si="66"/>
        <v>1</v>
      </c>
      <c r="N66" s="19">
        <f t="shared" si="66"/>
        <v>1</v>
      </c>
      <c r="O66" s="19">
        <f t="shared" si="66"/>
        <v>1</v>
      </c>
      <c r="P66" s="19">
        <f t="shared" si="66"/>
        <v>1</v>
      </c>
      <c r="Q66" s="19">
        <f t="shared" si="66"/>
        <v>1</v>
      </c>
      <c r="R66" s="19">
        <f t="shared" si="66"/>
        <v>1</v>
      </c>
      <c r="S66" s="19">
        <f t="shared" si="66"/>
        <v>1</v>
      </c>
      <c r="T66" s="19">
        <f t="shared" si="66"/>
        <v>1</v>
      </c>
      <c r="U66" s="19">
        <f t="shared" si="66"/>
        <v>1</v>
      </c>
      <c r="V66" s="19">
        <f t="shared" si="66"/>
        <v>1</v>
      </c>
      <c r="W66" s="19">
        <f t="shared" si="66"/>
        <v>1</v>
      </c>
      <c r="X66" s="19">
        <f t="shared" si="66"/>
        <v>1</v>
      </c>
      <c r="Y66" s="19">
        <f t="shared" si="66"/>
        <v>1</v>
      </c>
      <c r="Z66" s="19">
        <f t="shared" si="66"/>
        <v>1</v>
      </c>
      <c r="AA66" s="19">
        <f t="shared" si="66"/>
        <v>1</v>
      </c>
      <c r="AB66" s="19">
        <f t="shared" si="66"/>
        <v>1</v>
      </c>
      <c r="AC66" s="19">
        <f t="shared" si="66"/>
        <v>1</v>
      </c>
      <c r="AD66" s="19">
        <f t="shared" si="66"/>
        <v>1</v>
      </c>
      <c r="AE66" s="19">
        <f t="shared" si="66"/>
        <v>1</v>
      </c>
      <c r="AF66" s="19">
        <f t="shared" si="66"/>
        <v>1</v>
      </c>
      <c r="AG66" s="19">
        <f t="shared" si="66"/>
        <v>1</v>
      </c>
      <c r="AH66" s="19">
        <f t="shared" si="66"/>
        <v>1</v>
      </c>
      <c r="AI66" s="19">
        <f t="shared" si="66"/>
        <v>1</v>
      </c>
      <c r="AJ66" s="19">
        <f t="shared" si="66"/>
        <v>1</v>
      </c>
      <c r="AK66" s="19">
        <f t="shared" si="66"/>
        <v>1</v>
      </c>
      <c r="AL66" s="19">
        <f t="shared" si="66"/>
        <v>1</v>
      </c>
      <c r="AM66" s="19">
        <f t="shared" si="66"/>
        <v>1</v>
      </c>
      <c r="AN66" s="19">
        <f t="shared" si="66"/>
        <v>1</v>
      </c>
      <c r="AO66" s="19">
        <f t="shared" si="66"/>
        <v>1</v>
      </c>
      <c r="AP66" s="19">
        <f t="shared" si="66"/>
        <v>1</v>
      </c>
      <c r="AQ66" s="19">
        <f t="shared" si="66"/>
        <v>1</v>
      </c>
      <c r="AR66" s="19">
        <f t="shared" si="66"/>
        <v>1</v>
      </c>
    </row>
    <row r="67" spans="1:44" ht="15">
      <c r="A67" s="2"/>
      <c r="B67" s="1" t="s">
        <v>280</v>
      </c>
      <c r="C67" s="87" t="s">
        <v>156</v>
      </c>
      <c r="D67" s="105">
        <f>SUM(F67:AR67)</f>
        <v>813.17652173913075</v>
      </c>
      <c r="F67" s="105">
        <f t="shared" ref="F67:K67" si="67">E67+F61+F66*$D65</f>
        <v>0</v>
      </c>
      <c r="G67" s="105">
        <f t="shared" si="67"/>
        <v>0</v>
      </c>
      <c r="H67" s="105">
        <f t="shared" si="67"/>
        <v>0</v>
      </c>
      <c r="I67" s="105">
        <f t="shared" si="67"/>
        <v>0</v>
      </c>
      <c r="J67" s="105">
        <f t="shared" si="67"/>
        <v>0</v>
      </c>
      <c r="K67" s="105">
        <f t="shared" si="67"/>
        <v>13.73</v>
      </c>
      <c r="L67" s="105">
        <f>K67+L61+L66*$D65</f>
        <v>14.347391304347827</v>
      </c>
      <c r="M67" s="105">
        <f t="shared" ref="M67:AR67" si="68">L67+M61+M66*$D65</f>
        <v>14.964782608695653</v>
      </c>
      <c r="N67" s="105">
        <f t="shared" si="68"/>
        <v>15.58217391304348</v>
      </c>
      <c r="O67" s="105">
        <f t="shared" si="68"/>
        <v>16.199565217391307</v>
      </c>
      <c r="P67" s="105">
        <f t="shared" si="68"/>
        <v>16.816956521739133</v>
      </c>
      <c r="Q67" s="105">
        <f t="shared" si="68"/>
        <v>17.43434782608696</v>
      </c>
      <c r="R67" s="105">
        <f t="shared" si="68"/>
        <v>18.051739130434786</v>
      </c>
      <c r="S67" s="105">
        <f t="shared" si="68"/>
        <v>18.669130434782613</v>
      </c>
      <c r="T67" s="105">
        <f t="shared" si="68"/>
        <v>19.286521739130439</v>
      </c>
      <c r="U67" s="105">
        <f t="shared" si="68"/>
        <v>19.903913043478266</v>
      </c>
      <c r="V67" s="105">
        <f t="shared" si="68"/>
        <v>20.521304347826092</v>
      </c>
      <c r="W67" s="105">
        <f t="shared" si="68"/>
        <v>21.138695652173919</v>
      </c>
      <c r="X67" s="105">
        <f t="shared" si="68"/>
        <v>21.756086956521745</v>
      </c>
      <c r="Y67" s="105">
        <f t="shared" si="68"/>
        <v>22.373478260869572</v>
      </c>
      <c r="Z67" s="105">
        <f t="shared" si="68"/>
        <v>22.990869565217398</v>
      </c>
      <c r="AA67" s="105">
        <f t="shared" si="68"/>
        <v>23.608260869565225</v>
      </c>
      <c r="AB67" s="105">
        <f t="shared" si="68"/>
        <v>24.225652173913051</v>
      </c>
      <c r="AC67" s="105">
        <f t="shared" si="68"/>
        <v>24.843043478260878</v>
      </c>
      <c r="AD67" s="105">
        <f t="shared" si="68"/>
        <v>25.460434782608704</v>
      </c>
      <c r="AE67" s="105">
        <f t="shared" si="68"/>
        <v>26.077826086956531</v>
      </c>
      <c r="AF67" s="105">
        <f t="shared" si="68"/>
        <v>26.695217391304357</v>
      </c>
      <c r="AG67" s="105">
        <f t="shared" si="68"/>
        <v>27.312608695652184</v>
      </c>
      <c r="AH67" s="105">
        <f t="shared" si="68"/>
        <v>27.93000000000001</v>
      </c>
      <c r="AI67" s="105">
        <f t="shared" si="68"/>
        <v>28.547391304347837</v>
      </c>
      <c r="AJ67" s="105">
        <f t="shared" si="68"/>
        <v>29.164782608695663</v>
      </c>
      <c r="AK67" s="105">
        <f t="shared" si="68"/>
        <v>29.78217391304349</v>
      </c>
      <c r="AL67" s="105">
        <f t="shared" si="68"/>
        <v>30.399565217391316</v>
      </c>
      <c r="AM67" s="105">
        <f t="shared" si="68"/>
        <v>31.016956521739143</v>
      </c>
      <c r="AN67" s="105">
        <f t="shared" si="68"/>
        <v>31.634347826086969</v>
      </c>
      <c r="AO67" s="105">
        <f t="shared" si="68"/>
        <v>32.251739130434792</v>
      </c>
      <c r="AP67" s="105">
        <f t="shared" si="68"/>
        <v>32.869130434782619</v>
      </c>
      <c r="AQ67" s="105">
        <f t="shared" si="68"/>
        <v>33.486521739130445</v>
      </c>
      <c r="AR67" s="105">
        <f t="shared" si="68"/>
        <v>34.103913043478272</v>
      </c>
    </row>
    <row r="68" spans="1:44" ht="15">
      <c r="A68" s="2"/>
      <c r="B68" s="1" t="s">
        <v>281</v>
      </c>
      <c r="C68" s="87" t="s">
        <v>282</v>
      </c>
      <c r="D68" s="105">
        <f>Inputs!$E$33</f>
        <v>1000</v>
      </c>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5"/>
      <c r="AR68" s="105"/>
    </row>
    <row r="69" spans="1:44" ht="15">
      <c r="A69" s="2"/>
      <c r="B69" s="1" t="s">
        <v>283</v>
      </c>
      <c r="C69" s="87" t="s">
        <v>284</v>
      </c>
      <c r="D69" s="105">
        <f>Inputs!$E$32</f>
        <v>365</v>
      </c>
      <c r="F69" s="105"/>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5"/>
      <c r="AI69" s="105"/>
      <c r="AJ69" s="105"/>
      <c r="AK69" s="105"/>
      <c r="AL69" s="105"/>
      <c r="AM69" s="105"/>
      <c r="AN69" s="105"/>
      <c r="AO69" s="105"/>
      <c r="AP69" s="105"/>
      <c r="AQ69" s="105"/>
      <c r="AR69" s="105"/>
    </row>
    <row r="70" spans="1:44" ht="15">
      <c r="A70" s="2"/>
      <c r="B70" s="1" t="s">
        <v>280</v>
      </c>
      <c r="C70" s="87" t="s">
        <v>285</v>
      </c>
      <c r="D70" s="105">
        <f>SUM(F70:AR70)</f>
        <v>296.80943043478271</v>
      </c>
      <c r="F70" s="105">
        <f t="shared" ref="F70:AG70" si="69">F67*$D69/$D68</f>
        <v>0</v>
      </c>
      <c r="G70" s="105">
        <f t="shared" si="69"/>
        <v>0</v>
      </c>
      <c r="H70" s="105">
        <f t="shared" si="69"/>
        <v>0</v>
      </c>
      <c r="I70" s="105">
        <f t="shared" si="69"/>
        <v>0</v>
      </c>
      <c r="J70" s="105">
        <f t="shared" si="69"/>
        <v>0</v>
      </c>
      <c r="K70" s="105">
        <f t="shared" si="69"/>
        <v>5.01145</v>
      </c>
      <c r="L70" s="105">
        <f t="shared" si="69"/>
        <v>5.2367978260869572</v>
      </c>
      <c r="M70" s="105">
        <f t="shared" si="69"/>
        <v>5.4621456521739136</v>
      </c>
      <c r="N70" s="105">
        <f t="shared" si="69"/>
        <v>5.6874934782608699</v>
      </c>
      <c r="O70" s="105">
        <f t="shared" si="69"/>
        <v>5.9128413043478272</v>
      </c>
      <c r="P70" s="105">
        <f t="shared" si="69"/>
        <v>6.1381891304347835</v>
      </c>
      <c r="Q70" s="105">
        <f t="shared" si="69"/>
        <v>6.3635369565217408</v>
      </c>
      <c r="R70" s="105">
        <f t="shared" si="69"/>
        <v>6.5888847826086963</v>
      </c>
      <c r="S70" s="105">
        <f t="shared" si="69"/>
        <v>6.8142326086956535</v>
      </c>
      <c r="T70" s="105">
        <f t="shared" si="69"/>
        <v>7.0395804347826108</v>
      </c>
      <c r="U70" s="105">
        <f t="shared" si="69"/>
        <v>7.2649282608695662</v>
      </c>
      <c r="V70" s="105">
        <f t="shared" si="69"/>
        <v>7.4902760869565235</v>
      </c>
      <c r="W70" s="105">
        <f t="shared" si="69"/>
        <v>7.7156239130434807</v>
      </c>
      <c r="X70" s="105">
        <f t="shared" si="69"/>
        <v>7.9409717391304362</v>
      </c>
      <c r="Y70" s="105">
        <f t="shared" si="69"/>
        <v>8.1663195652173943</v>
      </c>
      <c r="Z70" s="105">
        <f t="shared" si="69"/>
        <v>8.3916673913043507</v>
      </c>
      <c r="AA70" s="105">
        <f t="shared" si="69"/>
        <v>8.617015217391307</v>
      </c>
      <c r="AB70" s="105">
        <f t="shared" si="69"/>
        <v>8.8423630434782652</v>
      </c>
      <c r="AC70" s="105">
        <f t="shared" si="69"/>
        <v>9.0677108695652198</v>
      </c>
      <c r="AD70" s="105">
        <f t="shared" si="69"/>
        <v>9.2930586956521761</v>
      </c>
      <c r="AE70" s="105">
        <f t="shared" si="69"/>
        <v>9.5184065217391343</v>
      </c>
      <c r="AF70" s="105">
        <f t="shared" si="69"/>
        <v>9.7437543478260906</v>
      </c>
      <c r="AG70" s="105">
        <f t="shared" si="69"/>
        <v>9.969102173913047</v>
      </c>
      <c r="AH70" s="105">
        <f>AH67*$D69/$D68</f>
        <v>10.194450000000005</v>
      </c>
      <c r="AI70" s="105">
        <f t="shared" ref="AI70:AR70" si="70">AI67*$D69/$D68</f>
        <v>10.41979782608696</v>
      </c>
      <c r="AJ70" s="105">
        <f t="shared" si="70"/>
        <v>10.645145652173916</v>
      </c>
      <c r="AK70" s="105">
        <f t="shared" si="70"/>
        <v>10.870493478260874</v>
      </c>
      <c r="AL70" s="105">
        <f t="shared" si="70"/>
        <v>11.095841304347831</v>
      </c>
      <c r="AM70" s="105">
        <f t="shared" si="70"/>
        <v>11.321189130434787</v>
      </c>
      <c r="AN70" s="105">
        <f t="shared" si="70"/>
        <v>11.546536956521745</v>
      </c>
      <c r="AO70" s="105">
        <f t="shared" si="70"/>
        <v>11.771884782608698</v>
      </c>
      <c r="AP70" s="105">
        <f t="shared" si="70"/>
        <v>11.997232608695656</v>
      </c>
      <c r="AQ70" s="105">
        <f t="shared" si="70"/>
        <v>12.222580434782612</v>
      </c>
      <c r="AR70" s="105">
        <f t="shared" si="70"/>
        <v>12.447928260869569</v>
      </c>
    </row>
    <row r="71" spans="1:44" ht="15">
      <c r="A71" s="2"/>
      <c r="C71" s="87"/>
      <c r="D71" s="105"/>
      <c r="F71" s="105"/>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5"/>
      <c r="AR71" s="105"/>
    </row>
    <row r="72" spans="1:44" ht="15">
      <c r="B72" s="2" t="s">
        <v>286</v>
      </c>
      <c r="C72" s="87"/>
      <c r="D72" s="105"/>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row>
    <row r="73" spans="1:44">
      <c r="B73" s="1" t="s">
        <v>287</v>
      </c>
      <c r="C73" s="87" t="s">
        <v>165</v>
      </c>
      <c r="D73" s="110"/>
      <c r="F73" s="19">
        <f>IFERROR(HLOOKUP(F$7,Inputs!$H$119:$AJ$123,5),0)</f>
        <v>0</v>
      </c>
      <c r="G73" s="19">
        <f>IFERROR(HLOOKUP(G$7,Inputs!$H$119:$AJ$123,5),0)</f>
        <v>0</v>
      </c>
      <c r="H73" s="19">
        <f>IFERROR(HLOOKUP(H$7,Inputs!$H$119:$AJ$123,5),0)</f>
        <v>0</v>
      </c>
      <c r="I73" s="19">
        <f>IFERROR(HLOOKUP(I$7,Inputs!$H$119:$AJ$123,5),0)</f>
        <v>0</v>
      </c>
      <c r="J73" s="19">
        <f>IFERROR(HLOOKUP(J$7,Inputs!$H$119:$AJ$123,5),0)</f>
        <v>56</v>
      </c>
      <c r="K73" s="19">
        <f>IFERROR(HLOOKUP(K$7,Inputs!$H$119:$AJ$123,5),0)</f>
        <v>57</v>
      </c>
      <c r="L73" s="19">
        <f>IFERROR(HLOOKUP(L$7,Inputs!$H$119:$AJ$123,5),0)</f>
        <v>58</v>
      </c>
      <c r="M73" s="19">
        <f>IFERROR(HLOOKUP(M$7,Inputs!$H$119:$AJ$123,5),0)</f>
        <v>59</v>
      </c>
      <c r="N73" s="19">
        <f>IFERROR(HLOOKUP(N$7,Inputs!$H$119:$AJ$123,5),0)</f>
        <v>60</v>
      </c>
      <c r="O73" s="19">
        <f>IFERROR(HLOOKUP(O$7,Inputs!$H$119:$AJ$123,5),0)</f>
        <v>61</v>
      </c>
      <c r="P73" s="19">
        <f>IFERROR(HLOOKUP(P$7,Inputs!$H$119:$AJ$123,5),0)</f>
        <v>62</v>
      </c>
      <c r="Q73" s="19">
        <f>IFERROR(HLOOKUP(Q$7,Inputs!$H$119:$AJ$123,5),0)</f>
        <v>63</v>
      </c>
      <c r="R73" s="19">
        <f>IFERROR(HLOOKUP(R$7,Inputs!$H$119:$AJ$123,5),0)</f>
        <v>65</v>
      </c>
      <c r="S73" s="19">
        <f>IFERROR(HLOOKUP(S$7,Inputs!$H$119:$AJ$123,5),0)</f>
        <v>66</v>
      </c>
      <c r="T73" s="19">
        <f>IFERROR(HLOOKUP(T$7,Inputs!$H$119:$AJ$123,5),0)</f>
        <v>67</v>
      </c>
      <c r="U73" s="19">
        <f>IFERROR(HLOOKUP(U$7,Inputs!$H$119:$AJ$123,5),0)</f>
        <v>68</v>
      </c>
      <c r="V73" s="19">
        <f>IFERROR(HLOOKUP(V$7,Inputs!$H$119:$AJ$123,5),0)</f>
        <v>69</v>
      </c>
      <c r="W73" s="19">
        <f>IFERROR(HLOOKUP(W$7,Inputs!$H$119:$AJ$123,5),0)</f>
        <v>70</v>
      </c>
      <c r="X73" s="19">
        <f>IFERROR(HLOOKUP(X$7,Inputs!$H$119:$AJ$123,5),0)</f>
        <v>72</v>
      </c>
      <c r="Y73" s="19">
        <f>IFERROR(HLOOKUP(Y$7,Inputs!$H$119:$AJ$123,5),0)</f>
        <v>73</v>
      </c>
      <c r="Z73" s="19">
        <f>IFERROR(HLOOKUP(Z$7,Inputs!$H$119:$AJ$123,5),0)</f>
        <v>74</v>
      </c>
      <c r="AA73" s="19">
        <f>IFERROR(HLOOKUP(AA$7,Inputs!$H$119:$AJ$123,5),0)</f>
        <v>75</v>
      </c>
      <c r="AB73" s="19">
        <f>IFERROR(HLOOKUP(AB$7,Inputs!$H$119:$AJ$123,5),0)</f>
        <v>76</v>
      </c>
      <c r="AC73" s="19">
        <f>IFERROR(HLOOKUP(AC$7,Inputs!$H$119:$AJ$123,5),0)</f>
        <v>78</v>
      </c>
      <c r="AD73" s="19">
        <f>IFERROR(HLOOKUP(AD$7,Inputs!$H$119:$AJ$123,5),0)</f>
        <v>79</v>
      </c>
      <c r="AE73" s="19">
        <f>IFERROR(HLOOKUP(AE$7,Inputs!$H$119:$AJ$123,5),0)</f>
        <v>80</v>
      </c>
      <c r="AF73" s="19">
        <f>IFERROR(HLOOKUP(AF$7,Inputs!$H$119:$AJ$123,5),0)</f>
        <v>81</v>
      </c>
      <c r="AG73" s="19">
        <f>IFERROR(HLOOKUP(AG$7,Inputs!$H$119:$AJ$123,5),0)</f>
        <v>82</v>
      </c>
      <c r="AH73" s="19">
        <f>IFERROR(HLOOKUP(AH$7,Inputs!$H$119:$AJ$123,5),0)</f>
        <v>84</v>
      </c>
      <c r="AI73" s="19">
        <f>IFERROR(HLOOKUP(AI$7,Inputs!$H$119:$AJ$123,5),0)</f>
        <v>85</v>
      </c>
      <c r="AJ73" s="19">
        <f>IFERROR(HLOOKUP(AJ$7,Inputs!$H$119:$AJ$123,5),0)</f>
        <v>86</v>
      </c>
      <c r="AK73" s="19">
        <f>IFERROR(HLOOKUP(AK$7,Inputs!$H$119:$AJ$123,5),0)</f>
        <v>87</v>
      </c>
      <c r="AL73" s="19">
        <f>IFERROR(HLOOKUP(AL$7,Inputs!$H$119:$AJ$123,5),0)</f>
        <v>88</v>
      </c>
      <c r="AM73" s="19">
        <f>IFERROR(HLOOKUP(AM$7,Inputs!$H$119:$AJ$123,5),0)</f>
        <v>88</v>
      </c>
      <c r="AN73" s="19">
        <f>IFERROR(HLOOKUP(AN$7,Inputs!$H$119:$AJ$123,5),0)</f>
        <v>88</v>
      </c>
      <c r="AO73" s="19">
        <f>IFERROR(HLOOKUP(AO$7,Inputs!$H$119:$AJ$123,5),0)</f>
        <v>88</v>
      </c>
      <c r="AP73" s="19">
        <f>IFERROR(HLOOKUP(AP$7,Inputs!$H$119:$AJ$123,5),0)</f>
        <v>88</v>
      </c>
      <c r="AQ73" s="19">
        <f>IFERROR(HLOOKUP(AQ$7,Inputs!$H$119:$AJ$123,5),0)</f>
        <v>88</v>
      </c>
      <c r="AR73" s="19">
        <f>IFERROR(HLOOKUP(AR$7,Inputs!$H$119:$AJ$123,5),0)</f>
        <v>88</v>
      </c>
    </row>
    <row r="74" spans="1:44" ht="15">
      <c r="A74" s="2"/>
      <c r="B74" s="1" t="s">
        <v>286</v>
      </c>
      <c r="C74" s="22" t="s">
        <v>288</v>
      </c>
      <c r="D74" s="19">
        <f>SUM(F74:AR74)</f>
        <v>23067.163197826096</v>
      </c>
      <c r="F74" s="19">
        <f t="shared" ref="F74" si="71">F70*F73</f>
        <v>0</v>
      </c>
      <c r="G74" s="19">
        <f t="shared" ref="G74" si="72">G70*G73</f>
        <v>0</v>
      </c>
      <c r="H74" s="19">
        <f t="shared" ref="H74" si="73">H70*H73</f>
        <v>0</v>
      </c>
      <c r="I74" s="19">
        <f t="shared" ref="I74" si="74">I70*I73</f>
        <v>0</v>
      </c>
      <c r="J74" s="19">
        <f t="shared" ref="J74" si="75">J70*J73</f>
        <v>0</v>
      </c>
      <c r="K74" s="19">
        <f>K70*K73</f>
        <v>285.65264999999999</v>
      </c>
      <c r="L74" s="19">
        <f t="shared" ref="L74" si="76">L70*L73</f>
        <v>303.73427391304352</v>
      </c>
      <c r="M74" s="19">
        <f t="shared" ref="M74" si="77">M70*M73</f>
        <v>322.26659347826092</v>
      </c>
      <c r="N74" s="19">
        <f t="shared" ref="N74" si="78">N70*N73</f>
        <v>341.24960869565217</v>
      </c>
      <c r="O74" s="19">
        <f t="shared" ref="O74" si="79">O70*O73</f>
        <v>360.68331956521746</v>
      </c>
      <c r="P74" s="19">
        <f t="shared" ref="P74" si="80">P70*P73</f>
        <v>380.56772608695655</v>
      </c>
      <c r="Q74" s="19">
        <f t="shared" ref="Q74" si="81">Q70*Q73</f>
        <v>400.90282826086968</v>
      </c>
      <c r="R74" s="19">
        <f t="shared" ref="R74" si="82">R70*R73</f>
        <v>428.27751086956528</v>
      </c>
      <c r="S74" s="19">
        <f t="shared" ref="S74" si="83">S70*S73</f>
        <v>449.73935217391312</v>
      </c>
      <c r="T74" s="19">
        <f t="shared" ref="T74" si="84">T70*T73</f>
        <v>471.65188913043494</v>
      </c>
      <c r="U74" s="19">
        <f t="shared" ref="U74" si="85">U70*U73</f>
        <v>494.01512173913051</v>
      </c>
      <c r="V74" s="19">
        <f t="shared" ref="V74" si="86">V70*V73</f>
        <v>516.82905000000017</v>
      </c>
      <c r="W74" s="19">
        <f t="shared" ref="W74" si="87">W70*W73</f>
        <v>540.09367391304363</v>
      </c>
      <c r="X74" s="19">
        <f t="shared" ref="X74" si="88">X70*X73</f>
        <v>571.74996521739138</v>
      </c>
      <c r="Y74" s="19">
        <f t="shared" ref="Y74" si="89">Y70*Y73</f>
        <v>596.14132826086984</v>
      </c>
      <c r="Z74" s="19">
        <f t="shared" ref="Z74" si="90">Z70*Z73</f>
        <v>620.98338695652194</v>
      </c>
      <c r="AA74" s="19">
        <f t="shared" ref="AA74" si="91">AA70*AA73</f>
        <v>646.27614130434802</v>
      </c>
      <c r="AB74" s="19">
        <f t="shared" ref="AB74" si="92">AB70*AB73</f>
        <v>672.01959130434818</v>
      </c>
      <c r="AC74" s="19">
        <f t="shared" ref="AC74" si="93">AC70*AC73</f>
        <v>707.28144782608717</v>
      </c>
      <c r="AD74" s="19">
        <f t="shared" ref="AD74" si="94">AD70*AD73</f>
        <v>734.15163695652188</v>
      </c>
      <c r="AE74" s="19">
        <f t="shared" ref="AE74" si="95">AE70*AE73</f>
        <v>761.4725217391308</v>
      </c>
      <c r="AF74" s="19">
        <f t="shared" ref="AF74" si="96">AF70*AF73</f>
        <v>789.24410217391335</v>
      </c>
      <c r="AG74" s="19">
        <f t="shared" ref="AG74" si="97">AG70*AG73</f>
        <v>817.46637826086987</v>
      </c>
      <c r="AH74" s="19">
        <f t="shared" ref="AH74" si="98">AH70*AH73</f>
        <v>856.33380000000045</v>
      </c>
      <c r="AI74" s="19">
        <f t="shared" ref="AI74" si="99">AI70*AI73</f>
        <v>885.68281521739152</v>
      </c>
      <c r="AJ74" s="19">
        <f t="shared" ref="AJ74" si="100">AJ70*AJ73</f>
        <v>915.4825260869568</v>
      </c>
      <c r="AK74" s="19">
        <f t="shared" ref="AK74" si="101">AK70*AK73</f>
        <v>945.73293260869605</v>
      </c>
      <c r="AL74" s="19">
        <f t="shared" ref="AL74" si="102">AL70*AL73</f>
        <v>976.43403478260905</v>
      </c>
      <c r="AM74" s="19">
        <f t="shared" ref="AM74" si="103">AM70*AM73</f>
        <v>996.26464347826129</v>
      </c>
      <c r="AN74" s="19">
        <f t="shared" ref="AN74" si="104">AN70*AN73</f>
        <v>1016.0952521739135</v>
      </c>
      <c r="AO74" s="19">
        <f t="shared" ref="AO74" si="105">AO70*AO73</f>
        <v>1035.9258608695654</v>
      </c>
      <c r="AP74" s="19">
        <f t="shared" ref="AP74" si="106">AP70*AP73</f>
        <v>1055.7564695652177</v>
      </c>
      <c r="AQ74" s="19">
        <f t="shared" ref="AQ74" si="107">AQ70*AQ73</f>
        <v>1075.5870782608699</v>
      </c>
      <c r="AR74" s="19">
        <f t="shared" ref="AR74" si="108">AR70*AR73</f>
        <v>1095.4176869565219</v>
      </c>
    </row>
    <row r="75" spans="1:44" ht="15">
      <c r="A75" s="2"/>
      <c r="C75" s="22"/>
      <c r="D75" s="18"/>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row>
    <row r="76" spans="1:44" ht="15">
      <c r="A76" s="2" t="s">
        <v>158</v>
      </c>
      <c r="C76" s="22"/>
      <c r="D76" s="18"/>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row>
    <row r="77" spans="1:44" ht="15">
      <c r="B77" s="2" t="s">
        <v>153</v>
      </c>
      <c r="C77" s="87"/>
      <c r="D77" s="86"/>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row>
    <row r="78" spans="1:44">
      <c r="B78" s="1" t="s">
        <v>161</v>
      </c>
      <c r="C78" s="87" t="s">
        <v>156</v>
      </c>
      <c r="D78" s="105">
        <f>Inputs!E113</f>
        <v>2.67</v>
      </c>
      <c r="F78" s="109">
        <f t="shared" ref="F78:J78" si="109">IF(F$7=$D79,$D78,0)</f>
        <v>0</v>
      </c>
      <c r="G78" s="109">
        <f t="shared" si="109"/>
        <v>0</v>
      </c>
      <c r="H78" s="109">
        <f t="shared" si="109"/>
        <v>0</v>
      </c>
      <c r="I78" s="109">
        <f t="shared" si="109"/>
        <v>0</v>
      </c>
      <c r="J78" s="109">
        <f t="shared" si="109"/>
        <v>0</v>
      </c>
      <c r="K78" s="109">
        <f>IF(K$7=$D79,$D78,0)</f>
        <v>2.67</v>
      </c>
      <c r="L78" s="109">
        <f t="shared" ref="L78:AR78" si="110">IF(L$7=$D79,$D78,0)</f>
        <v>0</v>
      </c>
      <c r="M78" s="109">
        <f t="shared" si="110"/>
        <v>0</v>
      </c>
      <c r="N78" s="109">
        <f t="shared" si="110"/>
        <v>0</v>
      </c>
      <c r="O78" s="109">
        <f t="shared" si="110"/>
        <v>0</v>
      </c>
      <c r="P78" s="109">
        <f t="shared" si="110"/>
        <v>0</v>
      </c>
      <c r="Q78" s="109">
        <f t="shared" si="110"/>
        <v>0</v>
      </c>
      <c r="R78" s="109">
        <f t="shared" si="110"/>
        <v>0</v>
      </c>
      <c r="S78" s="109">
        <f t="shared" si="110"/>
        <v>0</v>
      </c>
      <c r="T78" s="109">
        <f t="shared" si="110"/>
        <v>0</v>
      </c>
      <c r="U78" s="109">
        <f t="shared" si="110"/>
        <v>0</v>
      </c>
      <c r="V78" s="109">
        <f t="shared" si="110"/>
        <v>0</v>
      </c>
      <c r="W78" s="109">
        <f t="shared" si="110"/>
        <v>0</v>
      </c>
      <c r="X78" s="109">
        <f t="shared" si="110"/>
        <v>0</v>
      </c>
      <c r="Y78" s="109">
        <f t="shared" si="110"/>
        <v>0</v>
      </c>
      <c r="Z78" s="109">
        <f t="shared" si="110"/>
        <v>0</v>
      </c>
      <c r="AA78" s="109">
        <f t="shared" si="110"/>
        <v>0</v>
      </c>
      <c r="AB78" s="109">
        <f t="shared" si="110"/>
        <v>0</v>
      </c>
      <c r="AC78" s="109">
        <f t="shared" si="110"/>
        <v>0</v>
      </c>
      <c r="AD78" s="109">
        <f t="shared" si="110"/>
        <v>0</v>
      </c>
      <c r="AE78" s="109">
        <f t="shared" si="110"/>
        <v>0</v>
      </c>
      <c r="AF78" s="109">
        <f t="shared" si="110"/>
        <v>0</v>
      </c>
      <c r="AG78" s="109">
        <f t="shared" si="110"/>
        <v>0</v>
      </c>
      <c r="AH78" s="109">
        <f t="shared" si="110"/>
        <v>0</v>
      </c>
      <c r="AI78" s="109">
        <f t="shared" si="110"/>
        <v>0</v>
      </c>
      <c r="AJ78" s="109">
        <f t="shared" si="110"/>
        <v>0</v>
      </c>
      <c r="AK78" s="109">
        <f t="shared" si="110"/>
        <v>0</v>
      </c>
      <c r="AL78" s="109">
        <f t="shared" si="110"/>
        <v>0</v>
      </c>
      <c r="AM78" s="109">
        <f t="shared" si="110"/>
        <v>0</v>
      </c>
      <c r="AN78" s="109">
        <f t="shared" si="110"/>
        <v>0</v>
      </c>
      <c r="AO78" s="109">
        <f t="shared" si="110"/>
        <v>0</v>
      </c>
      <c r="AP78" s="109">
        <f t="shared" si="110"/>
        <v>0</v>
      </c>
      <c r="AQ78" s="109">
        <f t="shared" si="110"/>
        <v>0</v>
      </c>
      <c r="AR78" s="109">
        <f t="shared" si="110"/>
        <v>0</v>
      </c>
    </row>
    <row r="79" spans="1:44">
      <c r="B79" s="1" t="s">
        <v>161</v>
      </c>
      <c r="C79" s="87" t="s">
        <v>112</v>
      </c>
      <c r="D79" s="23">
        <f>Inputs!E114</f>
        <v>2023</v>
      </c>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row>
    <row r="80" spans="1:44">
      <c r="B80" s="1" t="s">
        <v>162</v>
      </c>
      <c r="C80" s="87" t="s">
        <v>156</v>
      </c>
      <c r="D80" s="105">
        <f>Inputs!E115</f>
        <v>5.43</v>
      </c>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row>
    <row r="81" spans="1:44">
      <c r="B81" s="1" t="s">
        <v>162</v>
      </c>
      <c r="C81" s="87" t="s">
        <v>112</v>
      </c>
      <c r="D81" s="23">
        <f>Inputs!E116</f>
        <v>2046</v>
      </c>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row>
    <row r="82" spans="1:44">
      <c r="B82" s="1" t="s">
        <v>257</v>
      </c>
      <c r="C82" s="87" t="s">
        <v>156</v>
      </c>
      <c r="D82" s="18">
        <f>(D80-D78)/(D81-D79)</f>
        <v>0.12</v>
      </c>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row>
    <row r="83" spans="1:44">
      <c r="B83" s="1" t="s">
        <v>258</v>
      </c>
      <c r="C83" s="87" t="s">
        <v>259</v>
      </c>
      <c r="D83" s="20"/>
      <c r="F83" s="19">
        <f t="shared" ref="F83:AG83" si="111">IF(F$7&gt;$D$62,1,0)</f>
        <v>0</v>
      </c>
      <c r="G83" s="19">
        <f t="shared" si="111"/>
        <v>0</v>
      </c>
      <c r="H83" s="19">
        <f t="shared" si="111"/>
        <v>0</v>
      </c>
      <c r="I83" s="19">
        <f t="shared" si="111"/>
        <v>0</v>
      </c>
      <c r="J83" s="19">
        <f t="shared" si="111"/>
        <v>0</v>
      </c>
      <c r="K83" s="19">
        <f t="shared" si="111"/>
        <v>0</v>
      </c>
      <c r="L83" s="19">
        <f t="shared" si="111"/>
        <v>1</v>
      </c>
      <c r="M83" s="19">
        <f t="shared" si="111"/>
        <v>1</v>
      </c>
      <c r="N83" s="19">
        <f t="shared" si="111"/>
        <v>1</v>
      </c>
      <c r="O83" s="19">
        <f t="shared" si="111"/>
        <v>1</v>
      </c>
      <c r="P83" s="19">
        <f t="shared" si="111"/>
        <v>1</v>
      </c>
      <c r="Q83" s="19">
        <f t="shared" si="111"/>
        <v>1</v>
      </c>
      <c r="R83" s="19">
        <f t="shared" si="111"/>
        <v>1</v>
      </c>
      <c r="S83" s="19">
        <f t="shared" si="111"/>
        <v>1</v>
      </c>
      <c r="T83" s="19">
        <f t="shared" si="111"/>
        <v>1</v>
      </c>
      <c r="U83" s="19">
        <f t="shared" si="111"/>
        <v>1</v>
      </c>
      <c r="V83" s="19">
        <f t="shared" si="111"/>
        <v>1</v>
      </c>
      <c r="W83" s="19">
        <f t="shared" si="111"/>
        <v>1</v>
      </c>
      <c r="X83" s="19">
        <f t="shared" si="111"/>
        <v>1</v>
      </c>
      <c r="Y83" s="19">
        <f t="shared" si="111"/>
        <v>1</v>
      </c>
      <c r="Z83" s="19">
        <f t="shared" si="111"/>
        <v>1</v>
      </c>
      <c r="AA83" s="19">
        <f t="shared" si="111"/>
        <v>1</v>
      </c>
      <c r="AB83" s="19">
        <f t="shared" si="111"/>
        <v>1</v>
      </c>
      <c r="AC83" s="19">
        <f t="shared" si="111"/>
        <v>1</v>
      </c>
      <c r="AD83" s="19">
        <f t="shared" si="111"/>
        <v>1</v>
      </c>
      <c r="AE83" s="19">
        <f t="shared" si="111"/>
        <v>1</v>
      </c>
      <c r="AF83" s="19">
        <f t="shared" si="111"/>
        <v>1</v>
      </c>
      <c r="AG83" s="19">
        <f t="shared" si="111"/>
        <v>1</v>
      </c>
      <c r="AH83" s="19">
        <f>IF(AH$7&gt;$D$62,1,0)</f>
        <v>1</v>
      </c>
      <c r="AI83" s="19">
        <f t="shared" ref="AI83:AR83" si="112">IF(AI$7&gt;$D$62,1,0)</f>
        <v>1</v>
      </c>
      <c r="AJ83" s="19">
        <f t="shared" si="112"/>
        <v>1</v>
      </c>
      <c r="AK83" s="19">
        <f t="shared" si="112"/>
        <v>1</v>
      </c>
      <c r="AL83" s="19">
        <f t="shared" si="112"/>
        <v>1</v>
      </c>
      <c r="AM83" s="19">
        <f t="shared" si="112"/>
        <v>1</v>
      </c>
      <c r="AN83" s="19">
        <f t="shared" si="112"/>
        <v>1</v>
      </c>
      <c r="AO83" s="19">
        <f t="shared" si="112"/>
        <v>1</v>
      </c>
      <c r="AP83" s="19">
        <f t="shared" si="112"/>
        <v>1</v>
      </c>
      <c r="AQ83" s="19">
        <f t="shared" si="112"/>
        <v>1</v>
      </c>
      <c r="AR83" s="19">
        <f t="shared" si="112"/>
        <v>1</v>
      </c>
    </row>
    <row r="84" spans="1:44" ht="15">
      <c r="A84" s="2"/>
      <c r="B84" s="1" t="s">
        <v>280</v>
      </c>
      <c r="C84" s="87" t="s">
        <v>156</v>
      </c>
      <c r="D84" s="105">
        <f>SUM(F84:AR84)</f>
        <v>158.10000000000005</v>
      </c>
      <c r="F84" s="105">
        <f t="shared" ref="F84:J84" si="113">E84+F78+F83*$D82</f>
        <v>0</v>
      </c>
      <c r="G84" s="105">
        <f t="shared" si="113"/>
        <v>0</v>
      </c>
      <c r="H84" s="105">
        <f t="shared" si="113"/>
        <v>0</v>
      </c>
      <c r="I84" s="105">
        <f t="shared" si="113"/>
        <v>0</v>
      </c>
      <c r="J84" s="105">
        <f t="shared" si="113"/>
        <v>0</v>
      </c>
      <c r="K84" s="105">
        <f>J84+K78+K83*$D82</f>
        <v>2.67</v>
      </c>
      <c r="L84" s="105">
        <f t="shared" ref="L84:AR84" si="114">K84+L78+L83*$D82</f>
        <v>2.79</v>
      </c>
      <c r="M84" s="105">
        <f t="shared" si="114"/>
        <v>2.91</v>
      </c>
      <c r="N84" s="105">
        <f t="shared" si="114"/>
        <v>3.0300000000000002</v>
      </c>
      <c r="O84" s="105">
        <f t="shared" si="114"/>
        <v>3.1500000000000004</v>
      </c>
      <c r="P84" s="105">
        <f t="shared" si="114"/>
        <v>3.2700000000000005</v>
      </c>
      <c r="Q84" s="105">
        <f t="shared" si="114"/>
        <v>3.3900000000000006</v>
      </c>
      <c r="R84" s="105">
        <f t="shared" si="114"/>
        <v>3.5100000000000007</v>
      </c>
      <c r="S84" s="105">
        <f t="shared" si="114"/>
        <v>3.6300000000000008</v>
      </c>
      <c r="T84" s="105">
        <f t="shared" si="114"/>
        <v>3.7500000000000009</v>
      </c>
      <c r="U84" s="105">
        <f t="shared" si="114"/>
        <v>3.870000000000001</v>
      </c>
      <c r="V84" s="105">
        <f t="shared" si="114"/>
        <v>3.9900000000000011</v>
      </c>
      <c r="W84" s="105">
        <f t="shared" si="114"/>
        <v>4.1100000000000012</v>
      </c>
      <c r="X84" s="105">
        <f t="shared" si="114"/>
        <v>4.2300000000000013</v>
      </c>
      <c r="Y84" s="105">
        <f t="shared" si="114"/>
        <v>4.3500000000000014</v>
      </c>
      <c r="Z84" s="105">
        <f t="shared" si="114"/>
        <v>4.4700000000000015</v>
      </c>
      <c r="AA84" s="105">
        <f t="shared" si="114"/>
        <v>4.5900000000000016</v>
      </c>
      <c r="AB84" s="105">
        <f t="shared" si="114"/>
        <v>4.7100000000000017</v>
      </c>
      <c r="AC84" s="105">
        <f t="shared" si="114"/>
        <v>4.8300000000000018</v>
      </c>
      <c r="AD84" s="105">
        <f t="shared" si="114"/>
        <v>4.950000000000002</v>
      </c>
      <c r="AE84" s="105">
        <f t="shared" si="114"/>
        <v>5.0700000000000021</v>
      </c>
      <c r="AF84" s="105">
        <f t="shared" si="114"/>
        <v>5.1900000000000022</v>
      </c>
      <c r="AG84" s="105">
        <f t="shared" si="114"/>
        <v>5.3100000000000023</v>
      </c>
      <c r="AH84" s="105">
        <f t="shared" si="114"/>
        <v>5.4300000000000024</v>
      </c>
      <c r="AI84" s="105">
        <f t="shared" si="114"/>
        <v>5.5500000000000025</v>
      </c>
      <c r="AJ84" s="105">
        <f t="shared" si="114"/>
        <v>5.6700000000000026</v>
      </c>
      <c r="AK84" s="105">
        <f t="shared" si="114"/>
        <v>5.7900000000000027</v>
      </c>
      <c r="AL84" s="105">
        <f t="shared" si="114"/>
        <v>5.9100000000000028</v>
      </c>
      <c r="AM84" s="105">
        <f t="shared" si="114"/>
        <v>6.0300000000000029</v>
      </c>
      <c r="AN84" s="105">
        <f t="shared" si="114"/>
        <v>6.150000000000003</v>
      </c>
      <c r="AO84" s="105">
        <f t="shared" si="114"/>
        <v>6.2700000000000031</v>
      </c>
      <c r="AP84" s="105">
        <f t="shared" si="114"/>
        <v>6.3900000000000032</v>
      </c>
      <c r="AQ84" s="105">
        <f t="shared" si="114"/>
        <v>6.5100000000000033</v>
      </c>
      <c r="AR84" s="105">
        <f t="shared" si="114"/>
        <v>6.6300000000000034</v>
      </c>
    </row>
    <row r="85" spans="1:44" ht="15">
      <c r="A85" s="2"/>
      <c r="B85" s="1" t="s">
        <v>281</v>
      </c>
      <c r="C85" s="87" t="s">
        <v>282</v>
      </c>
      <c r="D85" s="105">
        <f>Inputs!$E$33</f>
        <v>1000</v>
      </c>
      <c r="F85" s="105"/>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5"/>
      <c r="AR85" s="105"/>
    </row>
    <row r="86" spans="1:44" ht="15">
      <c r="A86" s="2"/>
      <c r="B86" s="1" t="s">
        <v>283</v>
      </c>
      <c r="C86" s="87" t="s">
        <v>284</v>
      </c>
      <c r="D86" s="105">
        <f>Inputs!$E$32</f>
        <v>365</v>
      </c>
      <c r="F86" s="105"/>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5"/>
      <c r="AR86" s="105"/>
    </row>
    <row r="87" spans="1:44" ht="15">
      <c r="A87" s="2"/>
      <c r="B87" s="1" t="s">
        <v>280</v>
      </c>
      <c r="C87" s="87" t="s">
        <v>285</v>
      </c>
      <c r="D87" s="105">
        <f>SUM(F87:AR87)</f>
        <v>57.70650000000002</v>
      </c>
      <c r="F87" s="105">
        <f t="shared" ref="F87" si="115">F84*$D86/$D85</f>
        <v>0</v>
      </c>
      <c r="G87" s="105">
        <f t="shared" ref="G87" si="116">G84*$D86/$D85</f>
        <v>0</v>
      </c>
      <c r="H87" s="105">
        <f t="shared" ref="H87" si="117">H84*$D86/$D85</f>
        <v>0</v>
      </c>
      <c r="I87" s="105">
        <f t="shared" ref="I87" si="118">I84*$D86/$D85</f>
        <v>0</v>
      </c>
      <c r="J87" s="105">
        <f t="shared" ref="J87" si="119">J84*$D86/$D85</f>
        <v>0</v>
      </c>
      <c r="K87" s="105">
        <f t="shared" ref="K87" si="120">K84*$D86/$D85</f>
        <v>0.97454999999999992</v>
      </c>
      <c r="L87" s="105">
        <f t="shared" ref="L87" si="121">L84*$D86/$D85</f>
        <v>1.0183500000000001</v>
      </c>
      <c r="M87" s="105">
        <f t="shared" ref="M87" si="122">M84*$D86/$D85</f>
        <v>1.0621500000000001</v>
      </c>
      <c r="N87" s="105">
        <f t="shared" ref="N87" si="123">N84*$D86/$D85</f>
        <v>1.10595</v>
      </c>
      <c r="O87" s="105">
        <f t="shared" ref="O87" si="124">O84*$D86/$D85</f>
        <v>1.1497500000000003</v>
      </c>
      <c r="P87" s="105">
        <f t="shared" ref="P87" si="125">P84*$D86/$D85</f>
        <v>1.1935500000000001</v>
      </c>
      <c r="Q87" s="105">
        <f t="shared" ref="Q87" si="126">Q84*$D86/$D85</f>
        <v>1.2373500000000002</v>
      </c>
      <c r="R87" s="105">
        <f t="shared" ref="R87" si="127">R84*$D86/$D85</f>
        <v>1.2811500000000002</v>
      </c>
      <c r="S87" s="105">
        <f t="shared" ref="S87" si="128">S84*$D86/$D85</f>
        <v>1.3249500000000003</v>
      </c>
      <c r="T87" s="105">
        <f t="shared" ref="T87" si="129">T84*$D86/$D85</f>
        <v>1.3687500000000001</v>
      </c>
      <c r="U87" s="105">
        <f t="shared" ref="U87" si="130">U84*$D86/$D85</f>
        <v>1.4125500000000004</v>
      </c>
      <c r="V87" s="105">
        <f t="shared" ref="V87" si="131">V84*$D86/$D85</f>
        <v>1.4563500000000003</v>
      </c>
      <c r="W87" s="105">
        <f t="shared" ref="W87" si="132">W84*$D86/$D85</f>
        <v>1.5001500000000005</v>
      </c>
      <c r="X87" s="105">
        <f t="shared" ref="X87" si="133">X84*$D86/$D85</f>
        <v>1.5439500000000006</v>
      </c>
      <c r="Y87" s="105">
        <f t="shared" ref="Y87" si="134">Y84*$D86/$D85</f>
        <v>1.5877500000000004</v>
      </c>
      <c r="Z87" s="105">
        <f t="shared" ref="Z87" si="135">Z84*$D86/$D85</f>
        <v>1.6315500000000007</v>
      </c>
      <c r="AA87" s="105">
        <f t="shared" ref="AA87" si="136">AA84*$D86/$D85</f>
        <v>1.6753500000000006</v>
      </c>
      <c r="AB87" s="105">
        <f t="shared" ref="AB87" si="137">AB84*$D86/$D85</f>
        <v>1.7191500000000006</v>
      </c>
      <c r="AC87" s="105">
        <f t="shared" ref="AC87" si="138">AC84*$D86/$D85</f>
        <v>1.7629500000000007</v>
      </c>
      <c r="AD87" s="105">
        <f t="shared" ref="AD87" si="139">AD84*$D86/$D85</f>
        <v>1.8067500000000007</v>
      </c>
      <c r="AE87" s="105">
        <f t="shared" ref="AE87" si="140">AE84*$D86/$D85</f>
        <v>1.8505500000000008</v>
      </c>
      <c r="AF87" s="105">
        <f t="shared" ref="AF87" si="141">AF84*$D86/$D85</f>
        <v>1.8943500000000009</v>
      </c>
      <c r="AG87" s="105">
        <f t="shared" ref="AG87" si="142">AG84*$D86/$D85</f>
        <v>1.9381500000000007</v>
      </c>
      <c r="AH87" s="105">
        <f t="shared" ref="AH87" si="143">AH84*$D86/$D85</f>
        <v>1.981950000000001</v>
      </c>
      <c r="AI87" s="105">
        <f t="shared" ref="AI87" si="144">AI84*$D86/$D85</f>
        <v>2.0257500000000008</v>
      </c>
      <c r="AJ87" s="105">
        <f t="shared" ref="AJ87" si="145">AJ84*$D86/$D85</f>
        <v>2.0695500000000009</v>
      </c>
      <c r="AK87" s="105">
        <f t="shared" ref="AK87" si="146">AK84*$D86/$D85</f>
        <v>2.1133500000000009</v>
      </c>
      <c r="AL87" s="105">
        <f t="shared" ref="AL87" si="147">AL84*$D86/$D85</f>
        <v>2.157150000000001</v>
      </c>
      <c r="AM87" s="105">
        <f t="shared" ref="AM87" si="148">AM84*$D86/$D85</f>
        <v>2.2009500000000011</v>
      </c>
      <c r="AN87" s="105">
        <f t="shared" ref="AN87" si="149">AN84*$D86/$D85</f>
        <v>2.2447500000000007</v>
      </c>
      <c r="AO87" s="105">
        <f t="shared" ref="AO87" si="150">AO84*$D86/$D85</f>
        <v>2.2885500000000012</v>
      </c>
      <c r="AP87" s="105">
        <f t="shared" ref="AP87" si="151">AP84*$D86/$D85</f>
        <v>2.3323500000000013</v>
      </c>
      <c r="AQ87" s="105">
        <f t="shared" ref="AQ87" si="152">AQ84*$D86/$D85</f>
        <v>2.3761500000000009</v>
      </c>
      <c r="AR87" s="105">
        <f t="shared" ref="AR87" si="153">AR84*$D86/$D85</f>
        <v>2.4199500000000014</v>
      </c>
    </row>
    <row r="88" spans="1:44" ht="15">
      <c r="A88" s="2"/>
      <c r="C88" s="87"/>
      <c r="D88" s="105"/>
      <c r="F88" s="105"/>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5"/>
      <c r="AR88" s="105"/>
    </row>
    <row r="89" spans="1:44" ht="15">
      <c r="B89" s="2" t="s">
        <v>286</v>
      </c>
      <c r="C89" s="87"/>
      <c r="D89" s="105"/>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row>
    <row r="90" spans="1:44">
      <c r="B90" s="1" t="s">
        <v>287</v>
      </c>
      <c r="C90" s="87" t="s">
        <v>165</v>
      </c>
      <c r="D90" s="110">
        <f>Inputs!$E$71</f>
        <v>18.8</v>
      </c>
      <c r="F90" s="19">
        <f>IFERROR(HLOOKUP(F$7,Inputs!$H$119:$AJ$123,2),0)</f>
        <v>0</v>
      </c>
      <c r="G90" s="19">
        <f>IFERROR(HLOOKUP(G$7,Inputs!$H$119:$AJ$123,2),0)</f>
        <v>0</v>
      </c>
      <c r="H90" s="19">
        <f>IFERROR(HLOOKUP(H$7,Inputs!$H$119:$AJ$123,2),0)</f>
        <v>0</v>
      </c>
      <c r="I90" s="19">
        <f>IFERROR(HLOOKUP(I$7,Inputs!$H$119:$AJ$123,2),0)</f>
        <v>0</v>
      </c>
      <c r="J90" s="19">
        <f>IFERROR(HLOOKUP(J$7,Inputs!$H$119:$AJ$123,2),0)</f>
        <v>16600</v>
      </c>
      <c r="K90" s="19">
        <f>IFERROR(HLOOKUP(K$7,Inputs!$H$119:$AJ$123,2),0)</f>
        <v>16800</v>
      </c>
      <c r="L90" s="19">
        <f>IFERROR(HLOOKUP(L$7,Inputs!$H$119:$AJ$123,2),0)</f>
        <v>17000</v>
      </c>
      <c r="M90" s="19">
        <f>IFERROR(HLOOKUP(M$7,Inputs!$H$119:$AJ$123,2),0)</f>
        <v>17200</v>
      </c>
      <c r="N90" s="19">
        <f>IFERROR(HLOOKUP(N$7,Inputs!$H$119:$AJ$123,2),0)</f>
        <v>17500</v>
      </c>
      <c r="O90" s="19">
        <f>IFERROR(HLOOKUP(O$7,Inputs!$H$119:$AJ$123,2),0)</f>
        <v>17900</v>
      </c>
      <c r="P90" s="19">
        <f>IFERROR(HLOOKUP(P$7,Inputs!$H$119:$AJ$123,2),0)</f>
        <v>18200</v>
      </c>
      <c r="Q90" s="19">
        <f>IFERROR(HLOOKUP(Q$7,Inputs!$H$119:$AJ$123,2),0)</f>
        <v>18600</v>
      </c>
      <c r="R90" s="19">
        <f>IFERROR(HLOOKUP(R$7,Inputs!$H$119:$AJ$123,2),0)</f>
        <v>18900</v>
      </c>
      <c r="S90" s="19">
        <f>IFERROR(HLOOKUP(S$7,Inputs!$H$119:$AJ$123,2),0)</f>
        <v>18900</v>
      </c>
      <c r="T90" s="19">
        <f>IFERROR(HLOOKUP(T$7,Inputs!$H$119:$AJ$123,2),0)</f>
        <v>18900</v>
      </c>
      <c r="U90" s="19">
        <f>IFERROR(HLOOKUP(U$7,Inputs!$H$119:$AJ$123,2),0)</f>
        <v>18900</v>
      </c>
      <c r="V90" s="19">
        <f>IFERROR(HLOOKUP(V$7,Inputs!$H$119:$AJ$123,2),0)</f>
        <v>18900</v>
      </c>
      <c r="W90" s="19">
        <f>IFERROR(HLOOKUP(W$7,Inputs!$H$119:$AJ$123,2),0)</f>
        <v>18900</v>
      </c>
      <c r="X90" s="19">
        <f>IFERROR(HLOOKUP(X$7,Inputs!$H$119:$AJ$123,2),0)</f>
        <v>18900</v>
      </c>
      <c r="Y90" s="19">
        <f>IFERROR(HLOOKUP(Y$7,Inputs!$H$119:$AJ$123,2),0)</f>
        <v>18900</v>
      </c>
      <c r="Z90" s="19">
        <f>IFERROR(HLOOKUP(Z$7,Inputs!$H$119:$AJ$123,2),0)</f>
        <v>18900</v>
      </c>
      <c r="AA90" s="19">
        <f>IFERROR(HLOOKUP(AA$7,Inputs!$H$119:$AJ$123,2),0)</f>
        <v>18900</v>
      </c>
      <c r="AB90" s="19">
        <f>IFERROR(HLOOKUP(AB$7,Inputs!$H$119:$AJ$123,2),0)</f>
        <v>18900</v>
      </c>
      <c r="AC90" s="19">
        <f>IFERROR(HLOOKUP(AC$7,Inputs!$H$119:$AJ$123,2),0)</f>
        <v>18900</v>
      </c>
      <c r="AD90" s="19">
        <f>IFERROR(HLOOKUP(AD$7,Inputs!$H$119:$AJ$123,2),0)</f>
        <v>18900</v>
      </c>
      <c r="AE90" s="19">
        <f>IFERROR(HLOOKUP(AE$7,Inputs!$H$119:$AJ$123,2),0)</f>
        <v>18900</v>
      </c>
      <c r="AF90" s="19">
        <f>IFERROR(HLOOKUP(AF$7,Inputs!$H$119:$AJ$123,2),0)</f>
        <v>18900</v>
      </c>
      <c r="AG90" s="19">
        <f>IFERROR(HLOOKUP(AG$7,Inputs!$H$119:$AJ$123,2),0)</f>
        <v>18900</v>
      </c>
      <c r="AH90" s="19">
        <f>IFERROR(HLOOKUP(AH$7,Inputs!$H$119:$AJ$123,2),0)</f>
        <v>18900</v>
      </c>
      <c r="AI90" s="19">
        <f>IFERROR(HLOOKUP(AI$7,Inputs!$H$119:$AJ$123,2),0)</f>
        <v>18900</v>
      </c>
      <c r="AJ90" s="19">
        <f>IFERROR(HLOOKUP(AJ$7,Inputs!$H$119:$AJ$123,2),0)</f>
        <v>18900</v>
      </c>
      <c r="AK90" s="19">
        <f>IFERROR(HLOOKUP(AK$7,Inputs!$H$119:$AJ$123,2),0)</f>
        <v>18900</v>
      </c>
      <c r="AL90" s="19">
        <f>IFERROR(HLOOKUP(AL$7,Inputs!$H$119:$AJ$123,2),0)</f>
        <v>18900</v>
      </c>
      <c r="AM90" s="19">
        <f>IFERROR(HLOOKUP(AM$7,Inputs!$H$119:$AJ$123,2),0)</f>
        <v>18900</v>
      </c>
      <c r="AN90" s="19">
        <f>IFERROR(HLOOKUP(AN$7,Inputs!$H$119:$AJ$123,2),0)</f>
        <v>18900</v>
      </c>
      <c r="AO90" s="19">
        <f>IFERROR(HLOOKUP(AO$7,Inputs!$H$119:$AJ$123,2),0)</f>
        <v>18900</v>
      </c>
      <c r="AP90" s="19">
        <f>IFERROR(HLOOKUP(AP$7,Inputs!$H$119:$AJ$123,2),0)</f>
        <v>18900</v>
      </c>
      <c r="AQ90" s="19">
        <f>IFERROR(HLOOKUP(AQ$7,Inputs!$H$119:$AJ$123,2),0)</f>
        <v>18900</v>
      </c>
      <c r="AR90" s="19">
        <f>IFERROR(HLOOKUP(AR$7,Inputs!$H$119:$AJ$123,2),0)</f>
        <v>18900</v>
      </c>
    </row>
    <row r="91" spans="1:44" ht="15">
      <c r="A91" s="2"/>
      <c r="B91" s="1" t="s">
        <v>286</v>
      </c>
      <c r="C91" s="22" t="s">
        <v>288</v>
      </c>
      <c r="D91" s="19">
        <f>SUM(F91:AR91)</f>
        <v>1080961.0050000004</v>
      </c>
      <c r="F91" s="19">
        <f t="shared" ref="F91" si="154">F87*F90</f>
        <v>0</v>
      </c>
      <c r="G91" s="19">
        <f t="shared" ref="G91" si="155">G87*G90</f>
        <v>0</v>
      </c>
      <c r="H91" s="19">
        <f t="shared" ref="H91" si="156">H87*H90</f>
        <v>0</v>
      </c>
      <c r="I91" s="19">
        <f t="shared" ref="I91" si="157">I87*I90</f>
        <v>0</v>
      </c>
      <c r="J91" s="19">
        <f t="shared" ref="J91" si="158">J87*J90</f>
        <v>0</v>
      </c>
      <c r="K91" s="19">
        <f>K87*K90</f>
        <v>16372.439999999999</v>
      </c>
      <c r="L91" s="19">
        <f t="shared" ref="L91" si="159">L87*L90</f>
        <v>17311.95</v>
      </c>
      <c r="M91" s="19">
        <f t="shared" ref="M91" si="160">M87*M90</f>
        <v>18268.980000000003</v>
      </c>
      <c r="N91" s="19">
        <f t="shared" ref="N91" si="161">N87*N90</f>
        <v>19354.125</v>
      </c>
      <c r="O91" s="19">
        <f t="shared" ref="O91" si="162">O87*O90</f>
        <v>20580.525000000005</v>
      </c>
      <c r="P91" s="19">
        <f t="shared" ref="P91" si="163">P87*P90</f>
        <v>21722.61</v>
      </c>
      <c r="Q91" s="19">
        <f t="shared" ref="Q91" si="164">Q87*Q90</f>
        <v>23014.710000000003</v>
      </c>
      <c r="R91" s="19">
        <f t="shared" ref="R91" si="165">R87*R90</f>
        <v>24213.735000000004</v>
      </c>
      <c r="S91" s="19">
        <f t="shared" ref="S91" si="166">S87*S90</f>
        <v>25041.555000000004</v>
      </c>
      <c r="T91" s="19">
        <f t="shared" ref="T91" si="167">T87*T90</f>
        <v>25869.375000000004</v>
      </c>
      <c r="U91" s="19">
        <f t="shared" ref="U91" si="168">U87*U90</f>
        <v>26697.195000000007</v>
      </c>
      <c r="V91" s="19">
        <f t="shared" ref="V91" si="169">V87*V90</f>
        <v>27525.015000000003</v>
      </c>
      <c r="W91" s="19">
        <f t="shared" ref="W91" si="170">W87*W90</f>
        <v>28352.83500000001</v>
      </c>
      <c r="X91" s="19">
        <f t="shared" ref="X91" si="171">X87*X90</f>
        <v>29180.65500000001</v>
      </c>
      <c r="Y91" s="19">
        <f t="shared" ref="Y91" si="172">Y87*Y90</f>
        <v>30008.475000000009</v>
      </c>
      <c r="Z91" s="19">
        <f t="shared" ref="Z91" si="173">Z87*Z90</f>
        <v>30836.295000000013</v>
      </c>
      <c r="AA91" s="19">
        <f t="shared" ref="AA91" si="174">AA87*AA90</f>
        <v>31664.115000000009</v>
      </c>
      <c r="AB91" s="19">
        <f t="shared" ref="AB91" si="175">AB87*AB90</f>
        <v>32491.935000000012</v>
      </c>
      <c r="AC91" s="19">
        <f t="shared" ref="AC91" si="176">AC87*AC90</f>
        <v>33319.755000000012</v>
      </c>
      <c r="AD91" s="19">
        <f t="shared" ref="AD91" si="177">AD87*AD90</f>
        <v>34147.575000000012</v>
      </c>
      <c r="AE91" s="19">
        <f t="shared" ref="AE91" si="178">AE87*AE90</f>
        <v>34975.395000000019</v>
      </c>
      <c r="AF91" s="19">
        <f t="shared" ref="AF91" si="179">AF87*AF90</f>
        <v>35803.215000000018</v>
      </c>
      <c r="AG91" s="19">
        <f t="shared" ref="AG91" si="180">AG87*AG90</f>
        <v>36631.035000000011</v>
      </c>
      <c r="AH91" s="19">
        <f t="shared" ref="AH91" si="181">AH87*AH90</f>
        <v>37458.855000000018</v>
      </c>
      <c r="AI91" s="19">
        <f t="shared" ref="AI91" si="182">AI87*AI90</f>
        <v>38286.675000000017</v>
      </c>
      <c r="AJ91" s="19">
        <f t="shared" ref="AJ91" si="183">AJ87*AJ90</f>
        <v>39114.495000000017</v>
      </c>
      <c r="AK91" s="19">
        <f t="shared" ref="AK91" si="184">AK87*AK90</f>
        <v>39942.315000000017</v>
      </c>
      <c r="AL91" s="19">
        <f t="shared" ref="AL91" si="185">AL87*AL90</f>
        <v>40770.135000000017</v>
      </c>
      <c r="AM91" s="19">
        <f t="shared" ref="AM91" si="186">AM87*AM90</f>
        <v>41597.955000000024</v>
      </c>
      <c r="AN91" s="19">
        <f t="shared" ref="AN91" si="187">AN87*AN90</f>
        <v>42425.775000000016</v>
      </c>
      <c r="AO91" s="19">
        <f t="shared" ref="AO91" si="188">AO87*AO90</f>
        <v>43253.595000000023</v>
      </c>
      <c r="AP91" s="19">
        <f t="shared" ref="AP91" si="189">AP87*AP90</f>
        <v>44081.415000000023</v>
      </c>
      <c r="AQ91" s="19">
        <f t="shared" ref="AQ91" si="190">AQ87*AQ90</f>
        <v>44909.235000000015</v>
      </c>
      <c r="AR91" s="19">
        <f t="shared" ref="AR91" si="191">AR87*AR90</f>
        <v>45737.055000000029</v>
      </c>
    </row>
    <row r="92" spans="1:44">
      <c r="C92" s="22"/>
      <c r="D92" s="86"/>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row>
    <row r="93" spans="1:44" ht="15">
      <c r="A93" s="2" t="s">
        <v>276</v>
      </c>
      <c r="C93" s="87"/>
      <c r="D93" s="86"/>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row>
    <row r="94" spans="1:44">
      <c r="B94" s="1" t="s">
        <v>277</v>
      </c>
      <c r="C94" s="22" t="s">
        <v>267</v>
      </c>
      <c r="D94" s="86">
        <f>SUM(F94:AR94)</f>
        <v>1104028.1681978265</v>
      </c>
      <c r="F94" s="19">
        <f>F74+F91</f>
        <v>0</v>
      </c>
      <c r="G94" s="19">
        <f t="shared" ref="G94:AR94" si="192">G74+G91</f>
        <v>0</v>
      </c>
      <c r="H94" s="19">
        <f t="shared" si="192"/>
        <v>0</v>
      </c>
      <c r="I94" s="19">
        <f t="shared" si="192"/>
        <v>0</v>
      </c>
      <c r="J94" s="19">
        <f t="shared" si="192"/>
        <v>0</v>
      </c>
      <c r="K94" s="19">
        <f t="shared" si="192"/>
        <v>16658.092649999999</v>
      </c>
      <c r="L94" s="19">
        <f t="shared" si="192"/>
        <v>17615.684273913044</v>
      </c>
      <c r="M94" s="19">
        <f t="shared" si="192"/>
        <v>18591.246593478263</v>
      </c>
      <c r="N94" s="19">
        <f t="shared" si="192"/>
        <v>19695.374608695653</v>
      </c>
      <c r="O94" s="19">
        <f t="shared" si="192"/>
        <v>20941.208319565223</v>
      </c>
      <c r="P94" s="19">
        <f t="shared" si="192"/>
        <v>22103.177726086957</v>
      </c>
      <c r="Q94" s="19">
        <f t="shared" si="192"/>
        <v>23415.612828260873</v>
      </c>
      <c r="R94" s="19">
        <f t="shared" si="192"/>
        <v>24642.012510869568</v>
      </c>
      <c r="S94" s="19">
        <f t="shared" si="192"/>
        <v>25491.294352173918</v>
      </c>
      <c r="T94" s="19">
        <f t="shared" si="192"/>
        <v>26341.026889130437</v>
      </c>
      <c r="U94" s="19">
        <f t="shared" si="192"/>
        <v>27191.210121739139</v>
      </c>
      <c r="V94" s="19">
        <f t="shared" si="192"/>
        <v>28041.844050000003</v>
      </c>
      <c r="W94" s="19">
        <f t="shared" si="192"/>
        <v>28892.928673913055</v>
      </c>
      <c r="X94" s="19">
        <f t="shared" si="192"/>
        <v>29752.4049652174</v>
      </c>
      <c r="Y94" s="19">
        <f t="shared" si="192"/>
        <v>30604.61632826088</v>
      </c>
      <c r="Z94" s="19">
        <f t="shared" si="192"/>
        <v>31457.278386956536</v>
      </c>
      <c r="AA94" s="19">
        <f t="shared" si="192"/>
        <v>32310.391141304357</v>
      </c>
      <c r="AB94" s="19">
        <f t="shared" si="192"/>
        <v>33163.954591304362</v>
      </c>
      <c r="AC94" s="19">
        <f t="shared" si="192"/>
        <v>34027.036447826096</v>
      </c>
      <c r="AD94" s="19">
        <f t="shared" si="192"/>
        <v>34881.726636956533</v>
      </c>
      <c r="AE94" s="19">
        <f t="shared" si="192"/>
        <v>35736.86752173915</v>
      </c>
      <c r="AF94" s="19">
        <f t="shared" si="192"/>
        <v>36592.459102173932</v>
      </c>
      <c r="AG94" s="19">
        <f t="shared" si="192"/>
        <v>37448.50137826088</v>
      </c>
      <c r="AH94" s="19">
        <f t="shared" si="192"/>
        <v>38315.188800000018</v>
      </c>
      <c r="AI94" s="19">
        <f t="shared" si="192"/>
        <v>39172.357815217409</v>
      </c>
      <c r="AJ94" s="19">
        <f t="shared" si="192"/>
        <v>40029.977526086972</v>
      </c>
      <c r="AK94" s="19">
        <f t="shared" si="192"/>
        <v>40888.047932608715</v>
      </c>
      <c r="AL94" s="19">
        <f t="shared" si="192"/>
        <v>41746.569034782624</v>
      </c>
      <c r="AM94" s="19">
        <f t="shared" si="192"/>
        <v>42594.219643478282</v>
      </c>
      <c r="AN94" s="19">
        <f t="shared" si="192"/>
        <v>43441.870252173932</v>
      </c>
      <c r="AO94" s="19">
        <f t="shared" si="192"/>
        <v>44289.52086086959</v>
      </c>
      <c r="AP94" s="19">
        <f t="shared" si="192"/>
        <v>45137.171469565241</v>
      </c>
      <c r="AQ94" s="19">
        <f t="shared" si="192"/>
        <v>45984.822078260884</v>
      </c>
      <c r="AR94" s="19">
        <f t="shared" si="192"/>
        <v>46832.472686956549</v>
      </c>
    </row>
    <row r="95" spans="1:44">
      <c r="C95" s="12"/>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row>
    <row r="96" spans="1:44" s="9" customFormat="1">
      <c r="A96" s="8" t="s">
        <v>253</v>
      </c>
      <c r="B96" s="8"/>
      <c r="C96" s="13"/>
    </row>
    <row r="97" spans="1:44" ht="15">
      <c r="A97" s="2" t="s">
        <v>254</v>
      </c>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row>
    <row r="98" spans="1:44">
      <c r="B98" s="1" t="s">
        <v>221</v>
      </c>
      <c r="C98" s="87" t="s">
        <v>80</v>
      </c>
      <c r="D98" s="86">
        <f>SUM(F98:AR98)</f>
        <v>207338.53898478288</v>
      </c>
      <c r="F98" s="19">
        <f t="shared" ref="F98:AR98" si="193">(F$56-F$94)*F$11*F15</f>
        <v>0</v>
      </c>
      <c r="G98" s="19">
        <f t="shared" si="193"/>
        <v>0</v>
      </c>
      <c r="H98" s="19">
        <f t="shared" si="193"/>
        <v>0</v>
      </c>
      <c r="I98" s="19">
        <f t="shared" si="193"/>
        <v>0</v>
      </c>
      <c r="J98" s="19">
        <f t="shared" si="193"/>
        <v>0</v>
      </c>
      <c r="K98" s="19">
        <f t="shared" si="193"/>
        <v>0</v>
      </c>
      <c r="L98" s="19">
        <f t="shared" si="193"/>
        <v>0</v>
      </c>
      <c r="M98" s="19">
        <f t="shared" si="193"/>
        <v>0</v>
      </c>
      <c r="N98" s="19">
        <f t="shared" si="193"/>
        <v>0</v>
      </c>
      <c r="O98" s="19">
        <f t="shared" si="193"/>
        <v>5014.9971652173917</v>
      </c>
      <c r="P98" s="19">
        <f t="shared" si="193"/>
        <v>5613.3067521739213</v>
      </c>
      <c r="Q98" s="19">
        <f t="shared" si="193"/>
        <v>6261.6527608695687</v>
      </c>
      <c r="R98" s="19">
        <f t="shared" si="193"/>
        <v>6898.4817500000063</v>
      </c>
      <c r="S98" s="19">
        <f t="shared" si="193"/>
        <v>7434.6291391304439</v>
      </c>
      <c r="T98" s="19">
        <f t="shared" si="193"/>
        <v>7971.061863043491</v>
      </c>
      <c r="U98" s="19">
        <f t="shared" si="193"/>
        <v>8507.7799217391366</v>
      </c>
      <c r="V98" s="19">
        <f t="shared" si="193"/>
        <v>9044.7833152174098</v>
      </c>
      <c r="W98" s="19">
        <f t="shared" si="193"/>
        <v>9582.0720434782634</v>
      </c>
      <c r="X98" s="19">
        <f t="shared" si="193"/>
        <v>10122.347582608709</v>
      </c>
      <c r="Y98" s="19">
        <f t="shared" si="193"/>
        <v>10660.349647826097</v>
      </c>
      <c r="Z98" s="19">
        <f t="shared" si="193"/>
        <v>11198.637047826098</v>
      </c>
      <c r="AA98" s="19">
        <f t="shared" si="193"/>
        <v>11737.209782608708</v>
      </c>
      <c r="AB98" s="19">
        <f t="shared" si="193"/>
        <v>12276.067852173932</v>
      </c>
      <c r="AC98" s="19">
        <f t="shared" si="193"/>
        <v>12818.626069565238</v>
      </c>
      <c r="AD98" s="19">
        <f t="shared" si="193"/>
        <v>13358.197476086971</v>
      </c>
      <c r="AE98" s="19">
        <f t="shared" si="193"/>
        <v>13898.05421739132</v>
      </c>
      <c r="AF98" s="19">
        <f t="shared" si="193"/>
        <v>14438.196293478271</v>
      </c>
      <c r="AG98" s="19">
        <f t="shared" si="193"/>
        <v>14978.623704347847</v>
      </c>
      <c r="AH98" s="19">
        <f t="shared" si="193"/>
        <v>15523.464600000021</v>
      </c>
      <c r="AI98" s="19">
        <f t="shared" si="193"/>
        <v>0</v>
      </c>
      <c r="AJ98" s="19">
        <f t="shared" si="193"/>
        <v>0</v>
      </c>
      <c r="AK98" s="19">
        <f t="shared" si="193"/>
        <v>0</v>
      </c>
      <c r="AL98" s="19">
        <f t="shared" si="193"/>
        <v>0</v>
      </c>
      <c r="AM98" s="19">
        <f t="shared" si="193"/>
        <v>0</v>
      </c>
      <c r="AN98" s="19">
        <f t="shared" si="193"/>
        <v>0</v>
      </c>
      <c r="AO98" s="19">
        <f t="shared" si="193"/>
        <v>0</v>
      </c>
      <c r="AP98" s="19">
        <f t="shared" si="193"/>
        <v>0</v>
      </c>
      <c r="AQ98" s="19">
        <f t="shared" si="193"/>
        <v>0</v>
      </c>
      <c r="AR98" s="19">
        <f t="shared" si="193"/>
        <v>0</v>
      </c>
    </row>
    <row r="99" spans="1:44">
      <c r="B99" s="1" t="s">
        <v>222</v>
      </c>
      <c r="C99" s="87" t="s">
        <v>80</v>
      </c>
      <c r="D99" s="86">
        <f>SUM(F99:AR99)</f>
        <v>126186.45098897579</v>
      </c>
      <c r="F99" s="19">
        <f>(F$56-F$94)*F$11*F16</f>
        <v>0</v>
      </c>
      <c r="G99" s="19">
        <f t="shared" ref="G99:AR99" si="194">(G$56-G$94)*G$11*G16</f>
        <v>0</v>
      </c>
      <c r="H99" s="19">
        <f t="shared" si="194"/>
        <v>0</v>
      </c>
      <c r="I99" s="19">
        <f t="shared" si="194"/>
        <v>0</v>
      </c>
      <c r="J99" s="19">
        <f t="shared" si="194"/>
        <v>0</v>
      </c>
      <c r="K99" s="19">
        <f t="shared" si="194"/>
        <v>0</v>
      </c>
      <c r="L99" s="19">
        <f t="shared" si="194"/>
        <v>0</v>
      </c>
      <c r="M99" s="19">
        <f t="shared" si="194"/>
        <v>0</v>
      </c>
      <c r="N99" s="19">
        <f t="shared" si="194"/>
        <v>0</v>
      </c>
      <c r="O99" s="19">
        <f t="shared" si="194"/>
        <v>4199.9811731827212</v>
      </c>
      <c r="P99" s="19">
        <f t="shared" si="194"/>
        <v>4564.1320707589466</v>
      </c>
      <c r="Q99" s="19">
        <f t="shared" si="194"/>
        <v>4943.0065114977879</v>
      </c>
      <c r="R99" s="19">
        <f t="shared" si="194"/>
        <v>5287.1118409671499</v>
      </c>
      <c r="S99" s="19">
        <f t="shared" si="194"/>
        <v>5532.0623019408413</v>
      </c>
      <c r="T99" s="19">
        <f t="shared" si="194"/>
        <v>5758.4646869475873</v>
      </c>
      <c r="U99" s="19">
        <f t="shared" si="194"/>
        <v>5967.1856622175792</v>
      </c>
      <c r="V99" s="19">
        <f t="shared" si="194"/>
        <v>6159.0573184452332</v>
      </c>
      <c r="W99" s="19">
        <f t="shared" si="194"/>
        <v>6334.8784445802821</v>
      </c>
      <c r="X99" s="19">
        <f t="shared" si="194"/>
        <v>6497.149731599683</v>
      </c>
      <c r="Y99" s="19">
        <f t="shared" si="194"/>
        <v>6643.1774610520124</v>
      </c>
      <c r="Z99" s="19">
        <f t="shared" si="194"/>
        <v>6775.3595849813273</v>
      </c>
      <c r="AA99" s="19">
        <f t="shared" si="194"/>
        <v>6894.3737347654369</v>
      </c>
      <c r="AB99" s="19">
        <f t="shared" si="194"/>
        <v>7000.8699602898732</v>
      </c>
      <c r="AC99" s="19">
        <f t="shared" si="194"/>
        <v>7097.3624566991475</v>
      </c>
      <c r="AD99" s="19">
        <f t="shared" si="194"/>
        <v>7180.6893807208253</v>
      </c>
      <c r="AE99" s="19">
        <f t="shared" si="194"/>
        <v>7253.2902729161215</v>
      </c>
      <c r="AF99" s="19">
        <f t="shared" si="194"/>
        <v>7315.7149241136422</v>
      </c>
      <c r="AG99" s="19">
        <f t="shared" si="194"/>
        <v>7368.4903241033799</v>
      </c>
      <c r="AH99" s="19">
        <f t="shared" si="194"/>
        <v>7414.0931471962322</v>
      </c>
      <c r="AI99" s="19">
        <f t="shared" si="194"/>
        <v>0</v>
      </c>
      <c r="AJ99" s="19">
        <f t="shared" si="194"/>
        <v>0</v>
      </c>
      <c r="AK99" s="19">
        <f t="shared" si="194"/>
        <v>0</v>
      </c>
      <c r="AL99" s="19">
        <f t="shared" si="194"/>
        <v>0</v>
      </c>
      <c r="AM99" s="19">
        <f t="shared" si="194"/>
        <v>0</v>
      </c>
      <c r="AN99" s="19">
        <f t="shared" si="194"/>
        <v>0</v>
      </c>
      <c r="AO99" s="19">
        <f t="shared" si="194"/>
        <v>0</v>
      </c>
      <c r="AP99" s="19">
        <f t="shared" si="194"/>
        <v>0</v>
      </c>
      <c r="AQ99" s="19">
        <f t="shared" si="194"/>
        <v>0</v>
      </c>
      <c r="AR99" s="19">
        <f t="shared" si="194"/>
        <v>0</v>
      </c>
    </row>
    <row r="100" spans="1:44">
      <c r="B100" s="1" t="s">
        <v>223</v>
      </c>
      <c r="C100" s="87" t="s">
        <v>80</v>
      </c>
      <c r="D100" s="86">
        <f>SUM(F100:AR100)</f>
        <v>70413.768541386686</v>
      </c>
      <c r="F100" s="19">
        <f t="shared" ref="F100:N100" si="195">(F$36-F$74)*F$11*F16 + (F$53-F$91)*F$11*F17</f>
        <v>0</v>
      </c>
      <c r="G100" s="19">
        <f t="shared" si="195"/>
        <v>0</v>
      </c>
      <c r="H100" s="19">
        <f t="shared" si="195"/>
        <v>0</v>
      </c>
      <c r="I100" s="19">
        <f t="shared" si="195"/>
        <v>0</v>
      </c>
      <c r="J100" s="19">
        <f t="shared" si="195"/>
        <v>0</v>
      </c>
      <c r="K100" s="19">
        <f t="shared" si="195"/>
        <v>0</v>
      </c>
      <c r="L100" s="19">
        <f t="shared" si="195"/>
        <v>0</v>
      </c>
      <c r="M100" s="19">
        <f t="shared" si="195"/>
        <v>0</v>
      </c>
      <c r="N100" s="19">
        <f t="shared" si="195"/>
        <v>0</v>
      </c>
      <c r="O100" s="19">
        <f>(O$36-O$74)*O$11*O16 + (O$53-O$91)*O$11*O17</f>
        <v>3356.5022695024995</v>
      </c>
      <c r="P100" s="19">
        <f t="shared" ref="P100:AR100" si="196">(P$36-P$74)*P$11*P16 + (P$53-P$91)*P$11*P17</f>
        <v>3514.0968032272876</v>
      </c>
      <c r="Q100" s="19">
        <f t="shared" si="196"/>
        <v>3666.5881125394944</v>
      </c>
      <c r="R100" s="19">
        <f t="shared" si="196"/>
        <v>3779.0050909784404</v>
      </c>
      <c r="S100" s="19">
        <f t="shared" si="196"/>
        <v>3810.3222053750897</v>
      </c>
      <c r="T100" s="19">
        <f t="shared" si="196"/>
        <v>3822.3036829810458</v>
      </c>
      <c r="U100" s="19">
        <f t="shared" si="196"/>
        <v>3817.3441411354452</v>
      </c>
      <c r="V100" s="19">
        <f t="shared" si="196"/>
        <v>3797.607186904258</v>
      </c>
      <c r="W100" s="19">
        <f t="shared" si="196"/>
        <v>3765.0454134527963</v>
      </c>
      <c r="X100" s="19">
        <f t="shared" si="196"/>
        <v>3723.1527429472958</v>
      </c>
      <c r="Y100" s="19">
        <f t="shared" si="196"/>
        <v>3670.0837967147072</v>
      </c>
      <c r="Z100" s="19">
        <f t="shared" si="196"/>
        <v>3608.9543155469009</v>
      </c>
      <c r="AA100" s="19">
        <f t="shared" si="196"/>
        <v>3541.0422750295124</v>
      </c>
      <c r="AB100" s="19">
        <f t="shared" si="196"/>
        <v>3467.4925963968149</v>
      </c>
      <c r="AC100" s="19">
        <f t="shared" si="196"/>
        <v>3391.2198015903232</v>
      </c>
      <c r="AD100" s="19">
        <f t="shared" si="196"/>
        <v>3309.3777988830921</v>
      </c>
      <c r="AE100" s="19">
        <f t="shared" si="196"/>
        <v>3224.6463932527122</v>
      </c>
      <c r="AF100" s="19">
        <f t="shared" si="196"/>
        <v>3137.7484315446063</v>
      </c>
      <c r="AG100" s="19">
        <f t="shared" si="196"/>
        <v>3049.3242866998007</v>
      </c>
      <c r="AH100" s="19">
        <f t="shared" si="196"/>
        <v>2961.9111966845685</v>
      </c>
      <c r="AI100" s="19">
        <f t="shared" si="196"/>
        <v>0</v>
      </c>
      <c r="AJ100" s="19">
        <f t="shared" si="196"/>
        <v>0</v>
      </c>
      <c r="AK100" s="19">
        <f t="shared" si="196"/>
        <v>0</v>
      </c>
      <c r="AL100" s="19">
        <f t="shared" si="196"/>
        <v>0</v>
      </c>
      <c r="AM100" s="19">
        <f t="shared" si="196"/>
        <v>0</v>
      </c>
      <c r="AN100" s="19">
        <f t="shared" si="196"/>
        <v>0</v>
      </c>
      <c r="AO100" s="19">
        <f t="shared" si="196"/>
        <v>0</v>
      </c>
      <c r="AP100" s="19">
        <f t="shared" si="196"/>
        <v>0</v>
      </c>
      <c r="AQ100" s="19">
        <f t="shared" si="196"/>
        <v>0</v>
      </c>
      <c r="AR100" s="19">
        <f t="shared" si="196"/>
        <v>0</v>
      </c>
    </row>
    <row r="101" spans="1:44">
      <c r="B101" s="56" t="s">
        <v>289</v>
      </c>
      <c r="C101" s="87"/>
      <c r="D101" s="86"/>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row>
  </sheetData>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ADC5-6802-4CCC-8FCB-5ED05BFD5E0D}">
  <sheetPr>
    <tabColor theme="9"/>
  </sheetPr>
  <dimension ref="A1:AS79"/>
  <sheetViews>
    <sheetView workbookViewId="0">
      <pane xSplit="4" ySplit="7" topLeftCell="E8" activePane="bottomRight" state="frozen"/>
      <selection pane="bottomRight" activeCell="A2" sqref="A2"/>
      <selection pane="bottomLeft" activeCell="A8" sqref="A8"/>
      <selection pane="topRight" activeCell="E1" sqref="E1"/>
    </sheetView>
  </sheetViews>
  <sheetFormatPr defaultColWidth="0" defaultRowHeight="14.25"/>
  <cols>
    <col min="1" max="1" width="10" style="1" customWidth="1"/>
    <col min="2" max="2" width="37.85546875" style="1" customWidth="1"/>
    <col min="3" max="3" width="22.28515625" style="1" bestFit="1" customWidth="1"/>
    <col min="4" max="4" width="15.140625" style="1" bestFit="1" customWidth="1"/>
    <col min="5" max="5" width="1.5703125" style="1" customWidth="1"/>
    <col min="6" max="44" width="14.42578125" style="1" customWidth="1"/>
    <col min="45" max="45" width="9.140625" style="1" customWidth="1"/>
    <col min="46" max="16384" width="9.140625" style="1" hidden="1"/>
  </cols>
  <sheetData>
    <row r="1" spans="1:44" ht="19.5">
      <c r="A1" s="7" t="str">
        <f>Summary!$A$1</f>
        <v>Multimodal Improvements to Safely Connect Tulsa at US-75 and 81st Street Interchange</v>
      </c>
    </row>
    <row r="2" spans="1:44" ht="19.5">
      <c r="A2" s="7" t="s">
        <v>290</v>
      </c>
      <c r="C2" s="12"/>
    </row>
    <row r="3" spans="1:44">
      <c r="A3" s="55">
        <f ca="1">Summary!A3</f>
        <v>44984</v>
      </c>
      <c r="C3" s="12"/>
    </row>
    <row r="4" spans="1:44">
      <c r="A4" s="56" t="str">
        <f>Summary!A4</f>
        <v>All $ values 2021, unless otherwise noted</v>
      </c>
      <c r="C4" s="12"/>
    </row>
    <row r="5" spans="1:44">
      <c r="B5" s="70"/>
      <c r="C5" s="12"/>
    </row>
    <row r="6" spans="1:44">
      <c r="C6" s="1" t="s">
        <v>43</v>
      </c>
      <c r="D6" s="1" t="s">
        <v>44</v>
      </c>
    </row>
    <row r="7" spans="1:44" s="9" customFormat="1">
      <c r="A7" s="9" t="s">
        <v>204</v>
      </c>
      <c r="C7" s="13" t="s">
        <v>204</v>
      </c>
      <c r="F7" s="9">
        <f>Inputs!$E$12</f>
        <v>2018</v>
      </c>
      <c r="G7" s="9">
        <f>F7+1</f>
        <v>2019</v>
      </c>
      <c r="H7" s="9">
        <f t="shared" ref="H7:W8" si="0">G7+1</f>
        <v>2020</v>
      </c>
      <c r="I7" s="9">
        <f t="shared" si="0"/>
        <v>2021</v>
      </c>
      <c r="J7" s="9">
        <f t="shared" si="0"/>
        <v>2022</v>
      </c>
      <c r="K7" s="9">
        <f t="shared" si="0"/>
        <v>2023</v>
      </c>
      <c r="L7" s="9">
        <f t="shared" si="0"/>
        <v>2024</v>
      </c>
      <c r="M7" s="9">
        <f t="shared" si="0"/>
        <v>2025</v>
      </c>
      <c r="N7" s="9">
        <f t="shared" si="0"/>
        <v>2026</v>
      </c>
      <c r="O7" s="9">
        <f t="shared" si="0"/>
        <v>2027</v>
      </c>
      <c r="P7" s="9">
        <f t="shared" si="0"/>
        <v>2028</v>
      </c>
      <c r="Q7" s="9">
        <f t="shared" si="0"/>
        <v>2029</v>
      </c>
      <c r="R7" s="9">
        <f t="shared" si="0"/>
        <v>2030</v>
      </c>
      <c r="S7" s="9">
        <f t="shared" si="0"/>
        <v>2031</v>
      </c>
      <c r="T7" s="9">
        <f t="shared" si="0"/>
        <v>2032</v>
      </c>
      <c r="U7" s="9">
        <f t="shared" si="0"/>
        <v>2033</v>
      </c>
      <c r="V7" s="9">
        <f t="shared" si="0"/>
        <v>2034</v>
      </c>
      <c r="W7" s="9">
        <f t="shared" si="0"/>
        <v>2035</v>
      </c>
      <c r="X7" s="9">
        <f t="shared" ref="X7:AM8" si="1">W7+1</f>
        <v>2036</v>
      </c>
      <c r="Y7" s="9">
        <f t="shared" si="1"/>
        <v>2037</v>
      </c>
      <c r="Z7" s="9">
        <f t="shared" si="1"/>
        <v>2038</v>
      </c>
      <c r="AA7" s="9">
        <f t="shared" si="1"/>
        <v>2039</v>
      </c>
      <c r="AB7" s="9">
        <f t="shared" si="1"/>
        <v>2040</v>
      </c>
      <c r="AC7" s="9">
        <f t="shared" si="1"/>
        <v>2041</v>
      </c>
      <c r="AD7" s="9">
        <f t="shared" si="1"/>
        <v>2042</v>
      </c>
      <c r="AE7" s="9">
        <f t="shared" si="1"/>
        <v>2043</v>
      </c>
      <c r="AF7" s="9">
        <f t="shared" si="1"/>
        <v>2044</v>
      </c>
      <c r="AG7" s="9">
        <f t="shared" si="1"/>
        <v>2045</v>
      </c>
      <c r="AH7" s="9">
        <f t="shared" si="1"/>
        <v>2046</v>
      </c>
      <c r="AI7" s="9">
        <f t="shared" si="1"/>
        <v>2047</v>
      </c>
      <c r="AJ7" s="9">
        <f t="shared" si="1"/>
        <v>2048</v>
      </c>
      <c r="AK7" s="9">
        <f t="shared" si="1"/>
        <v>2049</v>
      </c>
      <c r="AL7" s="9">
        <f t="shared" si="1"/>
        <v>2050</v>
      </c>
      <c r="AM7" s="9">
        <f t="shared" si="1"/>
        <v>2051</v>
      </c>
      <c r="AN7" s="9">
        <f t="shared" ref="AN7:AR8" si="2">AM7+1</f>
        <v>2052</v>
      </c>
      <c r="AO7" s="9">
        <f t="shared" si="2"/>
        <v>2053</v>
      </c>
      <c r="AP7" s="9">
        <f t="shared" si="2"/>
        <v>2054</v>
      </c>
      <c r="AQ7" s="9">
        <f t="shared" si="2"/>
        <v>2055</v>
      </c>
      <c r="AR7" s="9">
        <f t="shared" si="2"/>
        <v>2056</v>
      </c>
    </row>
    <row r="8" spans="1:44">
      <c r="B8" s="1" t="s">
        <v>205</v>
      </c>
      <c r="C8" s="12" t="s">
        <v>49</v>
      </c>
      <c r="F8" s="1">
        <f>D8+1</f>
        <v>1</v>
      </c>
      <c r="G8" s="1">
        <f t="shared" ref="G8" si="3">F8+1</f>
        <v>2</v>
      </c>
      <c r="H8" s="1">
        <f t="shared" si="0"/>
        <v>3</v>
      </c>
      <c r="I8" s="1">
        <f t="shared" si="0"/>
        <v>4</v>
      </c>
      <c r="J8" s="1">
        <f t="shared" si="0"/>
        <v>5</v>
      </c>
      <c r="K8" s="1">
        <f t="shared" si="0"/>
        <v>6</v>
      </c>
      <c r="L8" s="1">
        <f t="shared" si="0"/>
        <v>7</v>
      </c>
      <c r="M8" s="1">
        <f t="shared" si="0"/>
        <v>8</v>
      </c>
      <c r="N8" s="1">
        <f t="shared" si="0"/>
        <v>9</v>
      </c>
      <c r="O8" s="1">
        <f t="shared" si="0"/>
        <v>10</v>
      </c>
      <c r="P8" s="1">
        <f t="shared" si="0"/>
        <v>11</v>
      </c>
      <c r="Q8" s="1">
        <f t="shared" si="0"/>
        <v>12</v>
      </c>
      <c r="R8" s="1">
        <f t="shared" si="0"/>
        <v>13</v>
      </c>
      <c r="S8" s="1">
        <f t="shared" si="0"/>
        <v>14</v>
      </c>
      <c r="T8" s="1">
        <f t="shared" si="0"/>
        <v>15</v>
      </c>
      <c r="U8" s="1">
        <f t="shared" si="0"/>
        <v>16</v>
      </c>
      <c r="V8" s="1">
        <f t="shared" si="0"/>
        <v>17</v>
      </c>
      <c r="W8" s="1">
        <f t="shared" si="0"/>
        <v>18</v>
      </c>
      <c r="X8" s="1">
        <f t="shared" si="1"/>
        <v>19</v>
      </c>
      <c r="Y8" s="1">
        <f t="shared" si="1"/>
        <v>20</v>
      </c>
      <c r="Z8" s="1">
        <f t="shared" si="1"/>
        <v>21</v>
      </c>
      <c r="AA8" s="1">
        <f t="shared" si="1"/>
        <v>22</v>
      </c>
      <c r="AB8" s="1">
        <f t="shared" si="1"/>
        <v>23</v>
      </c>
      <c r="AC8" s="1">
        <f t="shared" si="1"/>
        <v>24</v>
      </c>
      <c r="AD8" s="1">
        <f t="shared" si="1"/>
        <v>25</v>
      </c>
      <c r="AE8" s="1">
        <f t="shared" si="1"/>
        <v>26</v>
      </c>
      <c r="AF8" s="1">
        <f t="shared" si="1"/>
        <v>27</v>
      </c>
      <c r="AG8" s="1">
        <f t="shared" si="1"/>
        <v>28</v>
      </c>
      <c r="AH8" s="1">
        <f t="shared" si="1"/>
        <v>29</v>
      </c>
      <c r="AI8" s="1">
        <f t="shared" si="1"/>
        <v>30</v>
      </c>
      <c r="AJ8" s="1">
        <f t="shared" si="1"/>
        <v>31</v>
      </c>
      <c r="AK8" s="1">
        <f t="shared" si="1"/>
        <v>32</v>
      </c>
      <c r="AL8" s="1">
        <f t="shared" si="1"/>
        <v>33</v>
      </c>
      <c r="AM8" s="1">
        <f t="shared" si="1"/>
        <v>34</v>
      </c>
      <c r="AN8" s="1">
        <f t="shared" si="2"/>
        <v>35</v>
      </c>
      <c r="AO8" s="1">
        <f t="shared" si="2"/>
        <v>36</v>
      </c>
      <c r="AP8" s="1">
        <f t="shared" si="2"/>
        <v>37</v>
      </c>
      <c r="AQ8" s="1">
        <f t="shared" si="2"/>
        <v>38</v>
      </c>
      <c r="AR8" s="1">
        <f t="shared" si="2"/>
        <v>39</v>
      </c>
    </row>
    <row r="9" spans="1:44">
      <c r="B9" s="1" t="s">
        <v>206</v>
      </c>
      <c r="C9" s="12" t="s">
        <v>207</v>
      </c>
      <c r="F9" s="1">
        <f>IF(F7=Inputs!$E$13,1,0)</f>
        <v>0</v>
      </c>
      <c r="G9" s="1">
        <f>IF(G7=Inputs!$E$13,1,0)</f>
        <v>0</v>
      </c>
      <c r="H9" s="1">
        <f>IF(H7=Inputs!$E$13,1,0)</f>
        <v>0</v>
      </c>
      <c r="I9" s="1">
        <f>IF(I7=Inputs!$E$13,1,0)</f>
        <v>1</v>
      </c>
      <c r="J9" s="1">
        <f>IF(J7=Inputs!$E$13,1,0)</f>
        <v>0</v>
      </c>
      <c r="K9" s="1">
        <f>IF(K7=Inputs!$E$13,1,0)</f>
        <v>0</v>
      </c>
      <c r="L9" s="1">
        <f>IF(L7=Inputs!$E$13,1,0)</f>
        <v>0</v>
      </c>
      <c r="M9" s="1">
        <f>IF(M7=Inputs!$E$13,1,0)</f>
        <v>0</v>
      </c>
      <c r="N9" s="1">
        <f>IF(N7=Inputs!$E$13,1,0)</f>
        <v>0</v>
      </c>
      <c r="O9" s="1">
        <f>IF(O7=Inputs!$E$13,1,0)</f>
        <v>0</v>
      </c>
      <c r="P9" s="1">
        <f>IF(P7=Inputs!$E$13,1,0)</f>
        <v>0</v>
      </c>
      <c r="Q9" s="1">
        <f>IF(Q7=Inputs!$E$13,1,0)</f>
        <v>0</v>
      </c>
      <c r="R9" s="1">
        <f>IF(R7=Inputs!$E$13,1,0)</f>
        <v>0</v>
      </c>
      <c r="S9" s="1">
        <f>IF(S7=Inputs!$E$13,1,0)</f>
        <v>0</v>
      </c>
      <c r="T9" s="1">
        <f>IF(T7=Inputs!$E$13,1,0)</f>
        <v>0</v>
      </c>
      <c r="U9" s="1">
        <f>IF(U7=Inputs!$E$13,1,0)</f>
        <v>0</v>
      </c>
      <c r="V9" s="1">
        <f>IF(V7=Inputs!$E$13,1,0)</f>
        <v>0</v>
      </c>
      <c r="W9" s="1">
        <f>IF(W7=Inputs!$E$13,1,0)</f>
        <v>0</v>
      </c>
      <c r="X9" s="1">
        <f>IF(X7=Inputs!$E$13,1,0)</f>
        <v>0</v>
      </c>
      <c r="Y9" s="1">
        <f>IF(Y7=Inputs!$E$13,1,0)</f>
        <v>0</v>
      </c>
      <c r="Z9" s="1">
        <f>IF(Z7=Inputs!$E$13,1,0)</f>
        <v>0</v>
      </c>
      <c r="AA9" s="1">
        <f>IF(AA7=Inputs!$E$13,1,0)</f>
        <v>0</v>
      </c>
      <c r="AB9" s="1">
        <f>IF(AB7=Inputs!$E$13,1,0)</f>
        <v>0</v>
      </c>
      <c r="AC9" s="1">
        <f>IF(AC7=Inputs!$E$13,1,0)</f>
        <v>0</v>
      </c>
      <c r="AD9" s="1">
        <f>IF(AD7=Inputs!$E$13,1,0)</f>
        <v>0</v>
      </c>
      <c r="AE9" s="1">
        <f>IF(AE7=Inputs!$E$13,1,0)</f>
        <v>0</v>
      </c>
      <c r="AF9" s="1">
        <f>IF(AF7=Inputs!$E$13,1,0)</f>
        <v>0</v>
      </c>
      <c r="AG9" s="1">
        <f>IF(AG7=Inputs!$E$13,1,0)</f>
        <v>0</v>
      </c>
      <c r="AH9" s="1">
        <f>IF(AH7=Inputs!$E$13,1,0)</f>
        <v>0</v>
      </c>
      <c r="AI9" s="1">
        <f>IF(AI7=Inputs!$E$13,1,0)</f>
        <v>0</v>
      </c>
      <c r="AJ9" s="1">
        <f>IF(AJ7=Inputs!$E$13,1,0)</f>
        <v>0</v>
      </c>
      <c r="AK9" s="1">
        <f>IF(AK7=Inputs!$E$13,1,0)</f>
        <v>0</v>
      </c>
      <c r="AL9" s="1">
        <f>IF(AL7=Inputs!$E$13,1,0)</f>
        <v>0</v>
      </c>
      <c r="AM9" s="1">
        <f>IF(AM7=Inputs!$E$13,1,0)</f>
        <v>0</v>
      </c>
      <c r="AN9" s="1">
        <f>IF(AN7=Inputs!$E$13,1,0)</f>
        <v>0</v>
      </c>
      <c r="AO9" s="1">
        <f>IF(AO7=Inputs!$E$13,1,0)</f>
        <v>0</v>
      </c>
      <c r="AP9" s="1">
        <f>IF(AP7=Inputs!$E$13,1,0)</f>
        <v>0</v>
      </c>
      <c r="AQ9" s="1">
        <f>IF(AQ7=Inputs!$E$13,1,0)</f>
        <v>0</v>
      </c>
      <c r="AR9" s="1">
        <f>IF(AR7=Inputs!$E$13,1,0)</f>
        <v>0</v>
      </c>
    </row>
    <row r="10" spans="1:44">
      <c r="B10" s="1" t="s">
        <v>208</v>
      </c>
      <c r="C10" s="12" t="s">
        <v>56</v>
      </c>
      <c r="F10" s="1">
        <f t="shared" ref="F10:H10" si="4">F7-$I$7+1</f>
        <v>-2</v>
      </c>
      <c r="G10" s="1">
        <f t="shared" si="4"/>
        <v>-1</v>
      </c>
      <c r="H10" s="1">
        <f t="shared" si="4"/>
        <v>0</v>
      </c>
      <c r="I10" s="1">
        <f>I7-$I$7+1</f>
        <v>1</v>
      </c>
      <c r="J10" s="1">
        <f t="shared" ref="J10:AR10" si="5">J7-$I$7+1</f>
        <v>2</v>
      </c>
      <c r="K10" s="1">
        <f t="shared" si="5"/>
        <v>3</v>
      </c>
      <c r="L10" s="1">
        <f t="shared" si="5"/>
        <v>4</v>
      </c>
      <c r="M10" s="1">
        <f t="shared" si="5"/>
        <v>5</v>
      </c>
      <c r="N10" s="1">
        <f t="shared" si="5"/>
        <v>6</v>
      </c>
      <c r="O10" s="1">
        <f t="shared" si="5"/>
        <v>7</v>
      </c>
      <c r="P10" s="1">
        <f t="shared" si="5"/>
        <v>8</v>
      </c>
      <c r="Q10" s="1">
        <f t="shared" si="5"/>
        <v>9</v>
      </c>
      <c r="R10" s="1">
        <f t="shared" si="5"/>
        <v>10</v>
      </c>
      <c r="S10" s="1">
        <f t="shared" si="5"/>
        <v>11</v>
      </c>
      <c r="T10" s="1">
        <f t="shared" si="5"/>
        <v>12</v>
      </c>
      <c r="U10" s="1">
        <f t="shared" si="5"/>
        <v>13</v>
      </c>
      <c r="V10" s="1">
        <f t="shared" si="5"/>
        <v>14</v>
      </c>
      <c r="W10" s="1">
        <f t="shared" si="5"/>
        <v>15</v>
      </c>
      <c r="X10" s="1">
        <f t="shared" si="5"/>
        <v>16</v>
      </c>
      <c r="Y10" s="1">
        <f t="shared" si="5"/>
        <v>17</v>
      </c>
      <c r="Z10" s="1">
        <f t="shared" si="5"/>
        <v>18</v>
      </c>
      <c r="AA10" s="1">
        <f t="shared" si="5"/>
        <v>19</v>
      </c>
      <c r="AB10" s="1">
        <f t="shared" si="5"/>
        <v>20</v>
      </c>
      <c r="AC10" s="1">
        <f t="shared" si="5"/>
        <v>21</v>
      </c>
      <c r="AD10" s="1">
        <f t="shared" si="5"/>
        <v>22</v>
      </c>
      <c r="AE10" s="1">
        <f t="shared" si="5"/>
        <v>23</v>
      </c>
      <c r="AF10" s="1">
        <f t="shared" si="5"/>
        <v>24</v>
      </c>
      <c r="AG10" s="1">
        <f t="shared" si="5"/>
        <v>25</v>
      </c>
      <c r="AH10" s="1">
        <f t="shared" si="5"/>
        <v>26</v>
      </c>
      <c r="AI10" s="1">
        <f t="shared" si="5"/>
        <v>27</v>
      </c>
      <c r="AJ10" s="1">
        <f t="shared" si="5"/>
        <v>28</v>
      </c>
      <c r="AK10" s="1">
        <f t="shared" si="5"/>
        <v>29</v>
      </c>
      <c r="AL10" s="1">
        <f t="shared" si="5"/>
        <v>30</v>
      </c>
      <c r="AM10" s="1">
        <f t="shared" si="5"/>
        <v>31</v>
      </c>
      <c r="AN10" s="1">
        <f t="shared" si="5"/>
        <v>32</v>
      </c>
      <c r="AO10" s="1">
        <f t="shared" si="5"/>
        <v>33</v>
      </c>
      <c r="AP10" s="1">
        <f t="shared" si="5"/>
        <v>34</v>
      </c>
      <c r="AQ10" s="1">
        <f t="shared" si="5"/>
        <v>35</v>
      </c>
      <c r="AR10" s="1">
        <f t="shared" si="5"/>
        <v>36</v>
      </c>
    </row>
    <row r="11" spans="1:44">
      <c r="B11" s="1" t="s">
        <v>209</v>
      </c>
      <c r="C11" s="12" t="s">
        <v>207</v>
      </c>
      <c r="F11" s="1">
        <f>IF(AND(F7&gt;=Inputs!$E$17,F7&lt;Inputs!$E$21),1,0)</f>
        <v>0</v>
      </c>
      <c r="G11" s="1">
        <f>IF(AND(G7&gt;=Inputs!$E$17,G7&lt;Inputs!$E$21),1,0)</f>
        <v>0</v>
      </c>
      <c r="H11" s="1">
        <f>IF(AND(H7&gt;=Inputs!$E$17,H7&lt;Inputs!$E$21),1,0)</f>
        <v>0</v>
      </c>
      <c r="I11" s="1">
        <f>IF(AND(I7&gt;=Inputs!$E$17,I7&lt;Inputs!$E$21),1,0)</f>
        <v>0</v>
      </c>
      <c r="J11" s="1">
        <f>IF(AND(J7&gt;=Inputs!$E$17,J7&lt;Inputs!$E$21),1,0)</f>
        <v>0</v>
      </c>
      <c r="K11" s="1">
        <f>IF(AND(K7&gt;=Inputs!$E$17,K7&lt;Inputs!$E$21),1,0)</f>
        <v>0</v>
      </c>
      <c r="L11" s="1">
        <f>IF(AND(L7&gt;=Inputs!$E$17,L7&lt;Inputs!$E$21),1,0)</f>
        <v>0</v>
      </c>
      <c r="M11" s="1">
        <f>IF(AND(M7&gt;=Inputs!$E$17,M7&lt;Inputs!$E$21),1,0)</f>
        <v>0</v>
      </c>
      <c r="N11" s="1">
        <f>IF(AND(N7&gt;=Inputs!$E$17,N7&lt;Inputs!$E$21),1,0)</f>
        <v>0</v>
      </c>
      <c r="O11" s="1">
        <f>IF(AND(O7&gt;=Inputs!$E$17,O7&lt;Inputs!$E$21),1,0)</f>
        <v>1</v>
      </c>
      <c r="P11" s="1">
        <f>IF(AND(P7&gt;=Inputs!$E$17,P7&lt;Inputs!$E$21),1,0)</f>
        <v>1</v>
      </c>
      <c r="Q11" s="1">
        <f>IF(AND(Q7&gt;=Inputs!$E$17,Q7&lt;Inputs!$E$21),1,0)</f>
        <v>1</v>
      </c>
      <c r="R11" s="1">
        <f>IF(AND(R7&gt;=Inputs!$E$17,R7&lt;Inputs!$E$21),1,0)</f>
        <v>1</v>
      </c>
      <c r="S11" s="1">
        <f>IF(AND(S7&gt;=Inputs!$E$17,S7&lt;Inputs!$E$21),1,0)</f>
        <v>1</v>
      </c>
      <c r="T11" s="1">
        <f>IF(AND(T7&gt;=Inputs!$E$17,T7&lt;Inputs!$E$21),1,0)</f>
        <v>1</v>
      </c>
      <c r="U11" s="1">
        <f>IF(AND(U7&gt;=Inputs!$E$17,U7&lt;Inputs!$E$21),1,0)</f>
        <v>1</v>
      </c>
      <c r="V11" s="1">
        <f>IF(AND(V7&gt;=Inputs!$E$17,V7&lt;Inputs!$E$21),1,0)</f>
        <v>1</v>
      </c>
      <c r="W11" s="1">
        <f>IF(AND(W7&gt;=Inputs!$E$17,W7&lt;Inputs!$E$21),1,0)</f>
        <v>1</v>
      </c>
      <c r="X11" s="1">
        <f>IF(AND(X7&gt;=Inputs!$E$17,X7&lt;Inputs!$E$21),1,0)</f>
        <v>1</v>
      </c>
      <c r="Y11" s="1">
        <f>IF(AND(Y7&gt;=Inputs!$E$17,Y7&lt;Inputs!$E$21),1,0)</f>
        <v>1</v>
      </c>
      <c r="Z11" s="1">
        <f>IF(AND(Z7&gt;=Inputs!$E$17,Z7&lt;Inputs!$E$21),1,0)</f>
        <v>1</v>
      </c>
      <c r="AA11" s="1">
        <f>IF(AND(AA7&gt;=Inputs!$E$17,AA7&lt;Inputs!$E$21),1,0)</f>
        <v>1</v>
      </c>
      <c r="AB11" s="1">
        <f>IF(AND(AB7&gt;=Inputs!$E$17,AB7&lt;Inputs!$E$21),1,0)</f>
        <v>1</v>
      </c>
      <c r="AC11" s="1">
        <f>IF(AND(AC7&gt;=Inputs!$E$17,AC7&lt;Inputs!$E$21),1,0)</f>
        <v>1</v>
      </c>
      <c r="AD11" s="1">
        <f>IF(AND(AD7&gt;=Inputs!$E$17,AD7&lt;Inputs!$E$21),1,0)</f>
        <v>1</v>
      </c>
      <c r="AE11" s="1">
        <f>IF(AND(AE7&gt;=Inputs!$E$17,AE7&lt;Inputs!$E$21),1,0)</f>
        <v>1</v>
      </c>
      <c r="AF11" s="1">
        <f>IF(AND(AF7&gt;=Inputs!$E$17,AF7&lt;Inputs!$E$21),1,0)</f>
        <v>1</v>
      </c>
      <c r="AG11" s="1">
        <f>IF(AND(AG7&gt;=Inputs!$E$17,AG7&lt;Inputs!$E$21),1,0)</f>
        <v>1</v>
      </c>
      <c r="AH11" s="1">
        <f>IF(AND(AH7&gt;=Inputs!$E$17,AH7&lt;Inputs!$E$21),1,0)</f>
        <v>1</v>
      </c>
      <c r="AI11" s="1">
        <f>IF(AND(AI7&gt;=Inputs!$E$17,AI7&lt;Inputs!$E$21),1,0)</f>
        <v>0</v>
      </c>
      <c r="AJ11" s="1">
        <f>IF(AND(AJ7&gt;=Inputs!$E$17,AJ7&lt;Inputs!$E$21),1,0)</f>
        <v>0</v>
      </c>
      <c r="AK11" s="1">
        <f>IF(AND(AK7&gt;=Inputs!$E$17,AK7&lt;Inputs!$E$21),1,0)</f>
        <v>0</v>
      </c>
      <c r="AL11" s="1">
        <f>IF(AND(AL7&gt;=Inputs!$E$17,AL7&lt;Inputs!$E$21),1,0)</f>
        <v>0</v>
      </c>
      <c r="AM11" s="1">
        <f>IF(AND(AM7&gt;=Inputs!$E$17,AM7&lt;Inputs!$E$21),1,0)</f>
        <v>0</v>
      </c>
      <c r="AN11" s="1">
        <f>IF(AND(AN7&gt;=Inputs!$E$17,AN7&lt;Inputs!$E$21),1,0)</f>
        <v>0</v>
      </c>
      <c r="AO11" s="1">
        <f>IF(AND(AO7&gt;=Inputs!$E$17,AO7&lt;Inputs!$E$21),1,0)</f>
        <v>0</v>
      </c>
      <c r="AP11" s="1">
        <f>IF(AND(AP7&gt;=Inputs!$E$17,AP7&lt;Inputs!$E$21),1,0)</f>
        <v>0</v>
      </c>
      <c r="AQ11" s="1">
        <f>IF(AND(AQ7&gt;=Inputs!$E$17,AQ7&lt;Inputs!$E$21),1,0)</f>
        <v>0</v>
      </c>
      <c r="AR11" s="1">
        <f>IF(AND(AR7&gt;=Inputs!$E$17,AR7&lt;Inputs!$E$21),1,0)</f>
        <v>0</v>
      </c>
    </row>
    <row r="12" spans="1:44" ht="15">
      <c r="A12" s="2" t="s">
        <v>210</v>
      </c>
      <c r="C12" s="12"/>
    </row>
    <row r="13" spans="1:44">
      <c r="B13" s="1" t="s">
        <v>211</v>
      </c>
      <c r="C13" s="12" t="s">
        <v>49</v>
      </c>
      <c r="F13" s="1">
        <f>(F11+D13)*F11</f>
        <v>0</v>
      </c>
      <c r="G13" s="1">
        <f t="shared" ref="G13:AG13" si="6">(G11+F13)*G11</f>
        <v>0</v>
      </c>
      <c r="H13" s="1">
        <f t="shared" si="6"/>
        <v>0</v>
      </c>
      <c r="I13" s="1">
        <f t="shared" si="6"/>
        <v>0</v>
      </c>
      <c r="J13" s="1">
        <f t="shared" si="6"/>
        <v>0</v>
      </c>
      <c r="K13" s="1">
        <f t="shared" si="6"/>
        <v>0</v>
      </c>
      <c r="L13" s="1">
        <f t="shared" si="6"/>
        <v>0</v>
      </c>
      <c r="M13" s="1">
        <f t="shared" si="6"/>
        <v>0</v>
      </c>
      <c r="N13" s="1">
        <f t="shared" si="6"/>
        <v>0</v>
      </c>
      <c r="O13" s="1">
        <f t="shared" si="6"/>
        <v>1</v>
      </c>
      <c r="P13" s="1">
        <f t="shared" si="6"/>
        <v>2</v>
      </c>
      <c r="Q13" s="1">
        <f t="shared" si="6"/>
        <v>3</v>
      </c>
      <c r="R13" s="1">
        <f t="shared" si="6"/>
        <v>4</v>
      </c>
      <c r="S13" s="1">
        <f t="shared" si="6"/>
        <v>5</v>
      </c>
      <c r="T13" s="1">
        <f t="shared" si="6"/>
        <v>6</v>
      </c>
      <c r="U13" s="1">
        <f t="shared" si="6"/>
        <v>7</v>
      </c>
      <c r="V13" s="1">
        <f t="shared" si="6"/>
        <v>8</v>
      </c>
      <c r="W13" s="1">
        <f t="shared" si="6"/>
        <v>9</v>
      </c>
      <c r="X13" s="1">
        <f t="shared" si="6"/>
        <v>10</v>
      </c>
      <c r="Y13" s="1">
        <f t="shared" si="6"/>
        <v>11</v>
      </c>
      <c r="Z13" s="1">
        <f t="shared" si="6"/>
        <v>12</v>
      </c>
      <c r="AA13" s="1">
        <f t="shared" si="6"/>
        <v>13</v>
      </c>
      <c r="AB13" s="1">
        <f t="shared" si="6"/>
        <v>14</v>
      </c>
      <c r="AC13" s="1">
        <f t="shared" si="6"/>
        <v>15</v>
      </c>
      <c r="AD13" s="1">
        <f t="shared" si="6"/>
        <v>16</v>
      </c>
      <c r="AE13" s="1">
        <f t="shared" si="6"/>
        <v>17</v>
      </c>
      <c r="AF13" s="1">
        <f t="shared" si="6"/>
        <v>18</v>
      </c>
      <c r="AG13" s="1">
        <f t="shared" si="6"/>
        <v>19</v>
      </c>
      <c r="AH13" s="1">
        <f>(AH11+AG13)*AH11</f>
        <v>20</v>
      </c>
      <c r="AI13" s="1">
        <f t="shared" ref="AI13:AR13" si="7">(AI11+AH13)*AI11</f>
        <v>0</v>
      </c>
      <c r="AJ13" s="1">
        <f t="shared" si="7"/>
        <v>0</v>
      </c>
      <c r="AK13" s="1">
        <f t="shared" si="7"/>
        <v>0</v>
      </c>
      <c r="AL13" s="1">
        <f t="shared" si="7"/>
        <v>0</v>
      </c>
      <c r="AM13" s="1">
        <f t="shared" si="7"/>
        <v>0</v>
      </c>
      <c r="AN13" s="1">
        <f t="shared" si="7"/>
        <v>0</v>
      </c>
      <c r="AO13" s="1">
        <f t="shared" si="7"/>
        <v>0</v>
      </c>
      <c r="AP13" s="1">
        <f t="shared" si="7"/>
        <v>0</v>
      </c>
      <c r="AQ13" s="1">
        <f t="shared" si="7"/>
        <v>0</v>
      </c>
      <c r="AR13" s="1">
        <f t="shared" si="7"/>
        <v>0</v>
      </c>
    </row>
    <row r="14" spans="1:44" ht="15">
      <c r="A14" s="2" t="s">
        <v>9</v>
      </c>
      <c r="C14" s="12"/>
    </row>
    <row r="15" spans="1:44">
      <c r="B15" s="1" t="s">
        <v>65</v>
      </c>
      <c r="C15" s="12" t="s">
        <v>49</v>
      </c>
      <c r="D15" s="73">
        <f>Inputs!E24</f>
        <v>0</v>
      </c>
      <c r="E15" s="73"/>
      <c r="F15" s="3">
        <f>1/(1+$D15)^(F$10-1)</f>
        <v>1</v>
      </c>
      <c r="G15" s="3">
        <f t="shared" ref="G15:AR15" si="8">1/(1+$D15)^(G$10-1)</f>
        <v>1</v>
      </c>
      <c r="H15" s="3">
        <f t="shared" si="8"/>
        <v>1</v>
      </c>
      <c r="I15" s="3">
        <f t="shared" si="8"/>
        <v>1</v>
      </c>
      <c r="J15" s="3">
        <f t="shared" si="8"/>
        <v>1</v>
      </c>
      <c r="K15" s="3">
        <f t="shared" si="8"/>
        <v>1</v>
      </c>
      <c r="L15" s="3">
        <f t="shared" si="8"/>
        <v>1</v>
      </c>
      <c r="M15" s="3">
        <f t="shared" si="8"/>
        <v>1</v>
      </c>
      <c r="N15" s="3">
        <f t="shared" si="8"/>
        <v>1</v>
      </c>
      <c r="O15" s="3">
        <f t="shared" si="8"/>
        <v>1</v>
      </c>
      <c r="P15" s="3">
        <f t="shared" si="8"/>
        <v>1</v>
      </c>
      <c r="Q15" s="3">
        <f t="shared" si="8"/>
        <v>1</v>
      </c>
      <c r="R15" s="3">
        <f t="shared" si="8"/>
        <v>1</v>
      </c>
      <c r="S15" s="3">
        <f t="shared" si="8"/>
        <v>1</v>
      </c>
      <c r="T15" s="3">
        <f t="shared" si="8"/>
        <v>1</v>
      </c>
      <c r="U15" s="3">
        <f t="shared" si="8"/>
        <v>1</v>
      </c>
      <c r="V15" s="3">
        <f t="shared" si="8"/>
        <v>1</v>
      </c>
      <c r="W15" s="3">
        <f t="shared" si="8"/>
        <v>1</v>
      </c>
      <c r="X15" s="3">
        <f t="shared" si="8"/>
        <v>1</v>
      </c>
      <c r="Y15" s="3">
        <f t="shared" si="8"/>
        <v>1</v>
      </c>
      <c r="Z15" s="3">
        <f t="shared" si="8"/>
        <v>1</v>
      </c>
      <c r="AA15" s="3">
        <f t="shared" si="8"/>
        <v>1</v>
      </c>
      <c r="AB15" s="3">
        <f t="shared" si="8"/>
        <v>1</v>
      </c>
      <c r="AC15" s="3">
        <f t="shared" si="8"/>
        <v>1</v>
      </c>
      <c r="AD15" s="3">
        <f t="shared" si="8"/>
        <v>1</v>
      </c>
      <c r="AE15" s="3">
        <f t="shared" si="8"/>
        <v>1</v>
      </c>
      <c r="AF15" s="3">
        <f t="shared" si="8"/>
        <v>1</v>
      </c>
      <c r="AG15" s="3">
        <f t="shared" si="8"/>
        <v>1</v>
      </c>
      <c r="AH15" s="3">
        <f t="shared" si="8"/>
        <v>1</v>
      </c>
      <c r="AI15" s="3">
        <f t="shared" si="8"/>
        <v>1</v>
      </c>
      <c r="AJ15" s="3">
        <f t="shared" si="8"/>
        <v>1</v>
      </c>
      <c r="AK15" s="3">
        <f t="shared" si="8"/>
        <v>1</v>
      </c>
      <c r="AL15" s="3">
        <f t="shared" si="8"/>
        <v>1</v>
      </c>
      <c r="AM15" s="3">
        <f t="shared" si="8"/>
        <v>1</v>
      </c>
      <c r="AN15" s="3">
        <f t="shared" si="8"/>
        <v>1</v>
      </c>
      <c r="AO15" s="3">
        <f t="shared" si="8"/>
        <v>1</v>
      </c>
      <c r="AP15" s="3">
        <f t="shared" si="8"/>
        <v>1</v>
      </c>
      <c r="AQ15" s="3">
        <f t="shared" si="8"/>
        <v>1</v>
      </c>
      <c r="AR15" s="3">
        <f t="shared" si="8"/>
        <v>1</v>
      </c>
    </row>
    <row r="16" spans="1:44">
      <c r="B16" s="1" t="s">
        <v>67</v>
      </c>
      <c r="C16" s="12" t="s">
        <v>49</v>
      </c>
      <c r="D16" s="73">
        <f>Inputs!E25</f>
        <v>0.03</v>
      </c>
      <c r="E16" s="73"/>
      <c r="F16" s="3">
        <f t="shared" ref="F16:G16" si="9">MIN(1,IF(F10=0,1,1/(1+$D16)^(F$10-1)))</f>
        <v>1</v>
      </c>
      <c r="G16" s="3">
        <f t="shared" si="9"/>
        <v>1</v>
      </c>
      <c r="H16" s="3">
        <f>MIN(1,IF(H10=0,1,1/(1+$D16)^(H$10-1)))</f>
        <v>1</v>
      </c>
      <c r="I16" s="3">
        <f t="shared" ref="I16:AR16" si="10">MIN(1,IF(I10=0,1,1/(1+$D16)^(I$10-1)))</f>
        <v>1</v>
      </c>
      <c r="J16" s="3">
        <f t="shared" si="10"/>
        <v>0.970873786407767</v>
      </c>
      <c r="K16" s="3">
        <f t="shared" si="10"/>
        <v>0.94259590913375435</v>
      </c>
      <c r="L16" s="3">
        <f t="shared" si="10"/>
        <v>0.91514165935315961</v>
      </c>
      <c r="M16" s="3">
        <f t="shared" si="10"/>
        <v>0.888487047915689</v>
      </c>
      <c r="N16" s="3">
        <f t="shared" si="10"/>
        <v>0.86260878438416411</v>
      </c>
      <c r="O16" s="3">
        <f t="shared" si="10"/>
        <v>0.83748425668365445</v>
      </c>
      <c r="P16" s="3">
        <f t="shared" si="10"/>
        <v>0.81309151134335378</v>
      </c>
      <c r="Q16" s="3">
        <f t="shared" si="10"/>
        <v>0.78940923431393573</v>
      </c>
      <c r="R16" s="3">
        <f t="shared" si="10"/>
        <v>0.76641673234362695</v>
      </c>
      <c r="S16" s="3">
        <f t="shared" si="10"/>
        <v>0.74409391489672516</v>
      </c>
      <c r="T16" s="3">
        <f t="shared" si="10"/>
        <v>0.72242127659876232</v>
      </c>
      <c r="U16" s="3">
        <f t="shared" si="10"/>
        <v>0.70137988019297326</v>
      </c>
      <c r="V16" s="3">
        <f t="shared" si="10"/>
        <v>0.68095133999317792</v>
      </c>
      <c r="W16" s="3">
        <f t="shared" si="10"/>
        <v>0.66111780581861923</v>
      </c>
      <c r="X16" s="3">
        <f t="shared" si="10"/>
        <v>0.64186194739671765</v>
      </c>
      <c r="Y16" s="3">
        <f t="shared" si="10"/>
        <v>0.62316693922011435</v>
      </c>
      <c r="Z16" s="3">
        <f t="shared" si="10"/>
        <v>0.60501644584477121</v>
      </c>
      <c r="AA16" s="3">
        <f t="shared" si="10"/>
        <v>0.5873946076162827</v>
      </c>
      <c r="AB16" s="3">
        <f t="shared" si="10"/>
        <v>0.57028602681192497</v>
      </c>
      <c r="AC16" s="3">
        <f t="shared" si="10"/>
        <v>0.55367575418633497</v>
      </c>
      <c r="AD16" s="3">
        <f t="shared" si="10"/>
        <v>0.5375492759090631</v>
      </c>
      <c r="AE16" s="3">
        <f t="shared" si="10"/>
        <v>0.52189250088258554</v>
      </c>
      <c r="AF16" s="3">
        <f t="shared" si="10"/>
        <v>0.50669174842969467</v>
      </c>
      <c r="AG16" s="3">
        <f t="shared" si="10"/>
        <v>0.49193373633950943</v>
      </c>
      <c r="AH16" s="3">
        <f t="shared" si="10"/>
        <v>0.47760556926165965</v>
      </c>
      <c r="AI16" s="3">
        <f t="shared" si="10"/>
        <v>0.46369472743850448</v>
      </c>
      <c r="AJ16" s="3">
        <f t="shared" si="10"/>
        <v>0.45018905576553836</v>
      </c>
      <c r="AK16" s="3">
        <f t="shared" si="10"/>
        <v>0.4370767531704256</v>
      </c>
      <c r="AL16" s="3">
        <f t="shared" si="10"/>
        <v>0.42434636230138412</v>
      </c>
      <c r="AM16" s="3">
        <f t="shared" si="10"/>
        <v>0.41198675951590691</v>
      </c>
      <c r="AN16" s="3">
        <f t="shared" si="10"/>
        <v>0.39998714516107459</v>
      </c>
      <c r="AO16" s="3">
        <f t="shared" si="10"/>
        <v>0.38833703413696569</v>
      </c>
      <c r="AP16" s="3">
        <f t="shared" si="10"/>
        <v>0.37702624673491814</v>
      </c>
      <c r="AQ16" s="3">
        <f t="shared" si="10"/>
        <v>0.36604489974263904</v>
      </c>
      <c r="AR16" s="3">
        <f t="shared" si="10"/>
        <v>0.35538339780838735</v>
      </c>
    </row>
    <row r="17" spans="1:44">
      <c r="B17" s="1" t="s">
        <v>68</v>
      </c>
      <c r="C17" s="12" t="s">
        <v>49</v>
      </c>
      <c r="D17" s="73">
        <f>Inputs!E26</f>
        <v>7.0000000000000007E-2</v>
      </c>
      <c r="E17" s="73"/>
      <c r="F17" s="3">
        <f t="shared" ref="F17:G17" si="11">MIN(1,IF(F10=0,1,1/(1+$D17)^(F$10-1)))</f>
        <v>1</v>
      </c>
      <c r="G17" s="3">
        <f t="shared" si="11"/>
        <v>1</v>
      </c>
      <c r="H17" s="3">
        <f>MIN(1,IF(H10=0,1,1/(1+$D17)^(H$10-1)))</f>
        <v>1</v>
      </c>
      <c r="I17" s="3">
        <f t="shared" ref="I17:AR17" si="12">MIN(1,IF(I10=0,1,1/(1+$D17)^(I$10-1)))</f>
        <v>1</v>
      </c>
      <c r="J17" s="3">
        <f t="shared" si="12"/>
        <v>0.93457943925233644</v>
      </c>
      <c r="K17" s="3">
        <f t="shared" si="12"/>
        <v>0.87343872827321156</v>
      </c>
      <c r="L17" s="3">
        <f t="shared" si="12"/>
        <v>0.81629787689085187</v>
      </c>
      <c r="M17" s="3">
        <f t="shared" si="12"/>
        <v>0.7628952120475252</v>
      </c>
      <c r="N17" s="3">
        <f t="shared" si="12"/>
        <v>0.71298617948366838</v>
      </c>
      <c r="O17" s="3">
        <f t="shared" si="12"/>
        <v>0.66634222381651254</v>
      </c>
      <c r="P17" s="3">
        <f t="shared" si="12"/>
        <v>0.62274974188459109</v>
      </c>
      <c r="Q17" s="3">
        <f t="shared" si="12"/>
        <v>0.5820091045650384</v>
      </c>
      <c r="R17" s="3">
        <f t="shared" si="12"/>
        <v>0.54393374258414806</v>
      </c>
      <c r="S17" s="3">
        <f t="shared" si="12"/>
        <v>0.5083492921347178</v>
      </c>
      <c r="T17" s="3">
        <f t="shared" si="12"/>
        <v>0.47509279638758667</v>
      </c>
      <c r="U17" s="3">
        <f t="shared" si="12"/>
        <v>0.44401195924073528</v>
      </c>
      <c r="V17" s="3">
        <f t="shared" si="12"/>
        <v>0.41496444788853759</v>
      </c>
      <c r="W17" s="3">
        <f t="shared" si="12"/>
        <v>0.3878172410173249</v>
      </c>
      <c r="X17" s="3">
        <f t="shared" si="12"/>
        <v>0.36244601964235967</v>
      </c>
      <c r="Y17" s="3">
        <f t="shared" si="12"/>
        <v>0.33873459779659787</v>
      </c>
      <c r="Z17" s="3">
        <f t="shared" si="12"/>
        <v>0.31657439046411018</v>
      </c>
      <c r="AA17" s="3">
        <f t="shared" si="12"/>
        <v>0.29586391632159825</v>
      </c>
      <c r="AB17" s="3">
        <f t="shared" si="12"/>
        <v>0.27650833301083949</v>
      </c>
      <c r="AC17" s="3">
        <f t="shared" si="12"/>
        <v>0.2584190028138687</v>
      </c>
      <c r="AD17" s="3">
        <f t="shared" si="12"/>
        <v>0.24151308674193336</v>
      </c>
      <c r="AE17" s="3">
        <f t="shared" si="12"/>
        <v>0.22571316517937698</v>
      </c>
      <c r="AF17" s="3">
        <f t="shared" si="12"/>
        <v>0.21094688334521211</v>
      </c>
      <c r="AG17" s="3">
        <f t="shared" si="12"/>
        <v>0.19714661994879637</v>
      </c>
      <c r="AH17" s="3">
        <f t="shared" si="12"/>
        <v>0.18424917752223957</v>
      </c>
      <c r="AI17" s="3">
        <f t="shared" si="12"/>
        <v>0.17219549301143888</v>
      </c>
      <c r="AJ17" s="3">
        <f t="shared" si="12"/>
        <v>0.16093036730041013</v>
      </c>
      <c r="AK17" s="3">
        <f t="shared" si="12"/>
        <v>0.15040221243028987</v>
      </c>
      <c r="AL17" s="3">
        <f t="shared" si="12"/>
        <v>0.1405628153554111</v>
      </c>
      <c r="AM17" s="3">
        <f t="shared" si="12"/>
        <v>0.13136711715458982</v>
      </c>
      <c r="AN17" s="3">
        <f t="shared" si="12"/>
        <v>0.1227730066865325</v>
      </c>
      <c r="AO17" s="3">
        <f t="shared" si="12"/>
        <v>0.11474112774442291</v>
      </c>
      <c r="AP17" s="3">
        <f t="shared" si="12"/>
        <v>0.10723469882656347</v>
      </c>
      <c r="AQ17" s="3">
        <f t="shared" si="12"/>
        <v>0.10021934469772288</v>
      </c>
      <c r="AR17" s="3">
        <f t="shared" si="12"/>
        <v>9.366293896983445E-2</v>
      </c>
    </row>
    <row r="19" spans="1:44">
      <c r="B19" s="1" t="s">
        <v>212</v>
      </c>
      <c r="C19" s="1" t="s">
        <v>43</v>
      </c>
      <c r="D19" s="1" t="s">
        <v>44</v>
      </c>
    </row>
    <row r="20" spans="1:44" s="9" customFormat="1">
      <c r="A20" s="8" t="s">
        <v>213</v>
      </c>
    </row>
    <row r="21" spans="1:44" ht="15">
      <c r="A21" s="2" t="s">
        <v>291</v>
      </c>
    </row>
    <row r="22" spans="1:44" ht="15">
      <c r="B22" s="2" t="s">
        <v>292</v>
      </c>
      <c r="C22" s="87"/>
      <c r="D22" s="86"/>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row>
    <row r="23" spans="1:44">
      <c r="B23" s="1" t="s">
        <v>293</v>
      </c>
      <c r="C23" s="87" t="s">
        <v>172</v>
      </c>
      <c r="D23" s="105">
        <f>Inputs!$E$126</f>
        <v>230</v>
      </c>
      <c r="F23" s="109">
        <f t="shared" ref="F23:AR23" si="13">IF(F$7=$D$24,$D$23,0)</f>
        <v>0</v>
      </c>
      <c r="G23" s="109">
        <f t="shared" si="13"/>
        <v>0</v>
      </c>
      <c r="H23" s="109">
        <f t="shared" si="13"/>
        <v>0</v>
      </c>
      <c r="I23" s="109">
        <f t="shared" si="13"/>
        <v>0</v>
      </c>
      <c r="J23" s="109">
        <f t="shared" si="13"/>
        <v>0</v>
      </c>
      <c r="K23" s="109">
        <f t="shared" si="13"/>
        <v>230</v>
      </c>
      <c r="L23" s="109">
        <f t="shared" si="13"/>
        <v>0</v>
      </c>
      <c r="M23" s="109">
        <f t="shared" si="13"/>
        <v>0</v>
      </c>
      <c r="N23" s="109">
        <f t="shared" si="13"/>
        <v>0</v>
      </c>
      <c r="O23" s="109">
        <f t="shared" si="13"/>
        <v>0</v>
      </c>
      <c r="P23" s="109">
        <f t="shared" si="13"/>
        <v>0</v>
      </c>
      <c r="Q23" s="109">
        <f t="shared" si="13"/>
        <v>0</v>
      </c>
      <c r="R23" s="109">
        <f t="shared" si="13"/>
        <v>0</v>
      </c>
      <c r="S23" s="109">
        <f t="shared" si="13"/>
        <v>0</v>
      </c>
      <c r="T23" s="109">
        <f t="shared" si="13"/>
        <v>0</v>
      </c>
      <c r="U23" s="109">
        <f t="shared" si="13"/>
        <v>0</v>
      </c>
      <c r="V23" s="109">
        <f t="shared" si="13"/>
        <v>0</v>
      </c>
      <c r="W23" s="109">
        <f t="shared" si="13"/>
        <v>0</v>
      </c>
      <c r="X23" s="109">
        <f t="shared" si="13"/>
        <v>0</v>
      </c>
      <c r="Y23" s="109">
        <f t="shared" si="13"/>
        <v>0</v>
      </c>
      <c r="Z23" s="109">
        <f t="shared" si="13"/>
        <v>0</v>
      </c>
      <c r="AA23" s="109">
        <f t="shared" si="13"/>
        <v>0</v>
      </c>
      <c r="AB23" s="109">
        <f t="shared" si="13"/>
        <v>0</v>
      </c>
      <c r="AC23" s="109">
        <f t="shared" si="13"/>
        <v>0</v>
      </c>
      <c r="AD23" s="109">
        <f t="shared" si="13"/>
        <v>0</v>
      </c>
      <c r="AE23" s="109">
        <f t="shared" si="13"/>
        <v>0</v>
      </c>
      <c r="AF23" s="109">
        <f t="shared" si="13"/>
        <v>0</v>
      </c>
      <c r="AG23" s="109">
        <f t="shared" si="13"/>
        <v>0</v>
      </c>
      <c r="AH23" s="109">
        <f t="shared" si="13"/>
        <v>0</v>
      </c>
      <c r="AI23" s="109">
        <f t="shared" si="13"/>
        <v>0</v>
      </c>
      <c r="AJ23" s="109">
        <f t="shared" si="13"/>
        <v>0</v>
      </c>
      <c r="AK23" s="109">
        <f t="shared" si="13"/>
        <v>0</v>
      </c>
      <c r="AL23" s="109">
        <f t="shared" si="13"/>
        <v>0</v>
      </c>
      <c r="AM23" s="109">
        <f t="shared" si="13"/>
        <v>0</v>
      </c>
      <c r="AN23" s="109">
        <f t="shared" si="13"/>
        <v>0</v>
      </c>
      <c r="AO23" s="109">
        <f t="shared" si="13"/>
        <v>0</v>
      </c>
      <c r="AP23" s="109">
        <f t="shared" si="13"/>
        <v>0</v>
      </c>
      <c r="AQ23" s="109">
        <f t="shared" si="13"/>
        <v>0</v>
      </c>
      <c r="AR23" s="109">
        <f t="shared" si="13"/>
        <v>0</v>
      </c>
    </row>
    <row r="24" spans="1:44">
      <c r="B24" s="1" t="s">
        <v>293</v>
      </c>
      <c r="C24" s="87" t="s">
        <v>112</v>
      </c>
      <c r="D24" s="23">
        <f>Inputs!$E$127</f>
        <v>2023</v>
      </c>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row>
    <row r="25" spans="1:44">
      <c r="B25" s="1" t="s">
        <v>294</v>
      </c>
      <c r="C25" s="87" t="s">
        <v>172</v>
      </c>
      <c r="D25" s="105">
        <f>Inputs!$E$128</f>
        <v>561</v>
      </c>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row>
    <row r="26" spans="1:44">
      <c r="B26" s="1" t="s">
        <v>294</v>
      </c>
      <c r="C26" s="87" t="s">
        <v>112</v>
      </c>
      <c r="D26" s="23">
        <f>Inputs!$E$129</f>
        <v>2046</v>
      </c>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row>
    <row r="27" spans="1:44">
      <c r="B27" s="1" t="s">
        <v>257</v>
      </c>
      <c r="C27" s="87" t="s">
        <v>295</v>
      </c>
      <c r="D27" s="18">
        <f>(D25-D23)/(D26-D24)</f>
        <v>14.391304347826088</v>
      </c>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row>
    <row r="28" spans="1:44">
      <c r="B28" s="1" t="s">
        <v>258</v>
      </c>
      <c r="C28" s="87" t="s">
        <v>259</v>
      </c>
      <c r="D28" s="20"/>
      <c r="F28" s="19">
        <f t="shared" ref="F28:AR28" si="14">IF(F7&gt;$D$24,1,0)</f>
        <v>0</v>
      </c>
      <c r="G28" s="19">
        <f t="shared" si="14"/>
        <v>0</v>
      </c>
      <c r="H28" s="19">
        <f t="shared" si="14"/>
        <v>0</v>
      </c>
      <c r="I28" s="19">
        <f t="shared" si="14"/>
        <v>0</v>
      </c>
      <c r="J28" s="19">
        <f t="shared" si="14"/>
        <v>0</v>
      </c>
      <c r="K28" s="19">
        <f t="shared" si="14"/>
        <v>0</v>
      </c>
      <c r="L28" s="19">
        <f t="shared" si="14"/>
        <v>1</v>
      </c>
      <c r="M28" s="19">
        <f t="shared" si="14"/>
        <v>1</v>
      </c>
      <c r="N28" s="19">
        <f t="shared" si="14"/>
        <v>1</v>
      </c>
      <c r="O28" s="19">
        <f t="shared" si="14"/>
        <v>1</v>
      </c>
      <c r="P28" s="19">
        <f t="shared" si="14"/>
        <v>1</v>
      </c>
      <c r="Q28" s="19">
        <f t="shared" si="14"/>
        <v>1</v>
      </c>
      <c r="R28" s="19">
        <f t="shared" si="14"/>
        <v>1</v>
      </c>
      <c r="S28" s="19">
        <f t="shared" si="14"/>
        <v>1</v>
      </c>
      <c r="T28" s="19">
        <f t="shared" si="14"/>
        <v>1</v>
      </c>
      <c r="U28" s="19">
        <f t="shared" si="14"/>
        <v>1</v>
      </c>
      <c r="V28" s="19">
        <f t="shared" si="14"/>
        <v>1</v>
      </c>
      <c r="W28" s="19">
        <f t="shared" si="14"/>
        <v>1</v>
      </c>
      <c r="X28" s="19">
        <f t="shared" si="14"/>
        <v>1</v>
      </c>
      <c r="Y28" s="19">
        <f t="shared" si="14"/>
        <v>1</v>
      </c>
      <c r="Z28" s="19">
        <f t="shared" si="14"/>
        <v>1</v>
      </c>
      <c r="AA28" s="19">
        <f t="shared" si="14"/>
        <v>1</v>
      </c>
      <c r="AB28" s="19">
        <f t="shared" si="14"/>
        <v>1</v>
      </c>
      <c r="AC28" s="19">
        <f t="shared" si="14"/>
        <v>1</v>
      </c>
      <c r="AD28" s="19">
        <f t="shared" si="14"/>
        <v>1</v>
      </c>
      <c r="AE28" s="19">
        <f t="shared" si="14"/>
        <v>1</v>
      </c>
      <c r="AF28" s="19">
        <f t="shared" si="14"/>
        <v>1</v>
      </c>
      <c r="AG28" s="19">
        <f t="shared" si="14"/>
        <v>1</v>
      </c>
      <c r="AH28" s="19">
        <f t="shared" si="14"/>
        <v>1</v>
      </c>
      <c r="AI28" s="19">
        <f t="shared" si="14"/>
        <v>1</v>
      </c>
      <c r="AJ28" s="19">
        <f t="shared" si="14"/>
        <v>1</v>
      </c>
      <c r="AK28" s="19">
        <f t="shared" si="14"/>
        <v>1</v>
      </c>
      <c r="AL28" s="19">
        <f t="shared" si="14"/>
        <v>1</v>
      </c>
      <c r="AM28" s="19">
        <f t="shared" si="14"/>
        <v>1</v>
      </c>
      <c r="AN28" s="19">
        <f t="shared" si="14"/>
        <v>1</v>
      </c>
      <c r="AO28" s="19">
        <f t="shared" si="14"/>
        <v>1</v>
      </c>
      <c r="AP28" s="19">
        <f t="shared" si="14"/>
        <v>1</v>
      </c>
      <c r="AQ28" s="19">
        <f t="shared" si="14"/>
        <v>1</v>
      </c>
      <c r="AR28" s="19">
        <f t="shared" si="14"/>
        <v>1</v>
      </c>
    </row>
    <row r="29" spans="1:44" ht="15">
      <c r="A29" s="2"/>
      <c r="B29" s="1" t="s">
        <v>296</v>
      </c>
      <c r="C29" s="87" t="s">
        <v>295</v>
      </c>
      <c r="D29" s="105">
        <f>SUM(F29:AR29)</f>
        <v>15893.521739130425</v>
      </c>
      <c r="F29" s="86">
        <f t="shared" ref="F29:AR29" si="15">E29+F23+F28*$D$27</f>
        <v>0</v>
      </c>
      <c r="G29" s="86">
        <f t="shared" si="15"/>
        <v>0</v>
      </c>
      <c r="H29" s="86">
        <f t="shared" si="15"/>
        <v>0</v>
      </c>
      <c r="I29" s="86">
        <f t="shared" si="15"/>
        <v>0</v>
      </c>
      <c r="J29" s="86">
        <f t="shared" si="15"/>
        <v>0</v>
      </c>
      <c r="K29" s="86">
        <f t="shared" si="15"/>
        <v>230</v>
      </c>
      <c r="L29" s="86">
        <f t="shared" si="15"/>
        <v>244.39130434782609</v>
      </c>
      <c r="M29" s="86">
        <f t="shared" si="15"/>
        <v>258.78260869565219</v>
      </c>
      <c r="N29" s="86">
        <f t="shared" si="15"/>
        <v>273.17391304347825</v>
      </c>
      <c r="O29" s="86">
        <f t="shared" si="15"/>
        <v>287.56521739130432</v>
      </c>
      <c r="P29" s="86">
        <f t="shared" si="15"/>
        <v>301.95652173913038</v>
      </c>
      <c r="Q29" s="86">
        <f t="shared" si="15"/>
        <v>316.34782608695645</v>
      </c>
      <c r="R29" s="86">
        <f t="shared" si="15"/>
        <v>330.73913043478251</v>
      </c>
      <c r="S29" s="86">
        <f t="shared" si="15"/>
        <v>345.13043478260857</v>
      </c>
      <c r="T29" s="86">
        <f t="shared" si="15"/>
        <v>359.52173913043464</v>
      </c>
      <c r="U29" s="86">
        <f t="shared" si="15"/>
        <v>373.9130434782607</v>
      </c>
      <c r="V29" s="86">
        <f t="shared" si="15"/>
        <v>388.30434782608677</v>
      </c>
      <c r="W29" s="86">
        <f t="shared" si="15"/>
        <v>402.69565217391283</v>
      </c>
      <c r="X29" s="86">
        <f t="shared" si="15"/>
        <v>417.0869565217389</v>
      </c>
      <c r="Y29" s="86">
        <f t="shared" si="15"/>
        <v>431.47826086956496</v>
      </c>
      <c r="Z29" s="86">
        <f t="shared" si="15"/>
        <v>445.86956521739103</v>
      </c>
      <c r="AA29" s="86">
        <f t="shared" si="15"/>
        <v>460.26086956521709</v>
      </c>
      <c r="AB29" s="86">
        <f t="shared" si="15"/>
        <v>474.65217391304316</v>
      </c>
      <c r="AC29" s="86">
        <f t="shared" si="15"/>
        <v>489.04347826086922</v>
      </c>
      <c r="AD29" s="86">
        <f t="shared" si="15"/>
        <v>503.43478260869529</v>
      </c>
      <c r="AE29" s="86">
        <f t="shared" si="15"/>
        <v>517.82608695652141</v>
      </c>
      <c r="AF29" s="86">
        <f t="shared" si="15"/>
        <v>532.21739130434753</v>
      </c>
      <c r="AG29" s="86">
        <f t="shared" si="15"/>
        <v>546.60869565217365</v>
      </c>
      <c r="AH29" s="86">
        <f t="shared" si="15"/>
        <v>560.99999999999977</v>
      </c>
      <c r="AI29" s="86">
        <f t="shared" si="15"/>
        <v>575.39130434782589</v>
      </c>
      <c r="AJ29" s="86">
        <f t="shared" si="15"/>
        <v>589.78260869565202</v>
      </c>
      <c r="AK29" s="86">
        <f t="shared" si="15"/>
        <v>604.17391304347814</v>
      </c>
      <c r="AL29" s="86">
        <f t="shared" si="15"/>
        <v>618.56521739130426</v>
      </c>
      <c r="AM29" s="86">
        <f t="shared" si="15"/>
        <v>632.95652173913038</v>
      </c>
      <c r="AN29" s="86">
        <f t="shared" si="15"/>
        <v>647.3478260869565</v>
      </c>
      <c r="AO29" s="86">
        <f t="shared" si="15"/>
        <v>661.73913043478262</v>
      </c>
      <c r="AP29" s="86">
        <f t="shared" si="15"/>
        <v>676.13043478260875</v>
      </c>
      <c r="AQ29" s="86">
        <f t="shared" si="15"/>
        <v>690.52173913043487</v>
      </c>
      <c r="AR29" s="86">
        <f t="shared" si="15"/>
        <v>704.91304347826099</v>
      </c>
    </row>
    <row r="30" spans="1:44" ht="15">
      <c r="A30" s="2"/>
      <c r="B30" s="1" t="s">
        <v>283</v>
      </c>
      <c r="C30" s="87" t="s">
        <v>105</v>
      </c>
      <c r="D30" s="105">
        <f>Inputs!$E$32</f>
        <v>365</v>
      </c>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row>
    <row r="31" spans="1:44" ht="15">
      <c r="A31" s="2"/>
      <c r="B31" s="1" t="s">
        <v>296</v>
      </c>
      <c r="C31" s="87" t="s">
        <v>297</v>
      </c>
      <c r="D31" s="105">
        <f>SUM(F31:AR31)</f>
        <v>5801135.4347826075</v>
      </c>
      <c r="F31" s="86">
        <f t="shared" ref="F31:AR31" si="16">F29*$D$30</f>
        <v>0</v>
      </c>
      <c r="G31" s="86">
        <f t="shared" si="16"/>
        <v>0</v>
      </c>
      <c r="H31" s="86">
        <f t="shared" si="16"/>
        <v>0</v>
      </c>
      <c r="I31" s="86">
        <f t="shared" si="16"/>
        <v>0</v>
      </c>
      <c r="J31" s="86">
        <f t="shared" si="16"/>
        <v>0</v>
      </c>
      <c r="K31" s="86">
        <f t="shared" si="16"/>
        <v>83950</v>
      </c>
      <c r="L31" s="86">
        <f t="shared" si="16"/>
        <v>89202.826086956527</v>
      </c>
      <c r="M31" s="86">
        <f t="shared" si="16"/>
        <v>94455.652173913055</v>
      </c>
      <c r="N31" s="86">
        <f t="shared" si="16"/>
        <v>99708.478260869568</v>
      </c>
      <c r="O31" s="86">
        <f t="shared" si="16"/>
        <v>104961.30434782608</v>
      </c>
      <c r="P31" s="86">
        <f t="shared" si="16"/>
        <v>110214.13043478259</v>
      </c>
      <c r="Q31" s="86">
        <f t="shared" si="16"/>
        <v>115466.95652173911</v>
      </c>
      <c r="R31" s="86">
        <f t="shared" si="16"/>
        <v>120719.78260869562</v>
      </c>
      <c r="S31" s="86">
        <f t="shared" si="16"/>
        <v>125972.60869565213</v>
      </c>
      <c r="T31" s="86">
        <f t="shared" si="16"/>
        <v>131225.43478260865</v>
      </c>
      <c r="U31" s="86">
        <f t="shared" si="16"/>
        <v>136478.26086956516</v>
      </c>
      <c r="V31" s="86">
        <f t="shared" si="16"/>
        <v>141731.08695652167</v>
      </c>
      <c r="W31" s="86">
        <f t="shared" si="16"/>
        <v>146983.91304347818</v>
      </c>
      <c r="X31" s="86">
        <f t="shared" si="16"/>
        <v>152236.7391304347</v>
      </c>
      <c r="Y31" s="86">
        <f t="shared" si="16"/>
        <v>157489.56521739121</v>
      </c>
      <c r="Z31" s="86">
        <f t="shared" si="16"/>
        <v>162742.39130434772</v>
      </c>
      <c r="AA31" s="86">
        <f t="shared" si="16"/>
        <v>167995.21739130424</v>
      </c>
      <c r="AB31" s="86">
        <f t="shared" si="16"/>
        <v>173248.04347826075</v>
      </c>
      <c r="AC31" s="86">
        <f t="shared" si="16"/>
        <v>178500.86956521726</v>
      </c>
      <c r="AD31" s="86">
        <f t="shared" si="16"/>
        <v>183753.69565217377</v>
      </c>
      <c r="AE31" s="86">
        <f t="shared" si="16"/>
        <v>189006.52173913032</v>
      </c>
      <c r="AF31" s="86">
        <f t="shared" si="16"/>
        <v>194259.34782608686</v>
      </c>
      <c r="AG31" s="86">
        <f t="shared" si="16"/>
        <v>199512.17391304337</v>
      </c>
      <c r="AH31" s="86">
        <f t="shared" si="16"/>
        <v>204764.99999999991</v>
      </c>
      <c r="AI31" s="86">
        <f t="shared" si="16"/>
        <v>210017.82608695645</v>
      </c>
      <c r="AJ31" s="86">
        <f t="shared" si="16"/>
        <v>215270.652173913</v>
      </c>
      <c r="AK31" s="86">
        <f t="shared" si="16"/>
        <v>220523.47826086951</v>
      </c>
      <c r="AL31" s="86">
        <f t="shared" si="16"/>
        <v>225776.30434782605</v>
      </c>
      <c r="AM31" s="86">
        <f t="shared" si="16"/>
        <v>231029.13043478259</v>
      </c>
      <c r="AN31" s="86">
        <f t="shared" si="16"/>
        <v>236281.95652173914</v>
      </c>
      <c r="AO31" s="86">
        <f t="shared" si="16"/>
        <v>241534.78260869565</v>
      </c>
      <c r="AP31" s="86">
        <f t="shared" si="16"/>
        <v>246787.60869565219</v>
      </c>
      <c r="AQ31" s="86">
        <f t="shared" si="16"/>
        <v>252040.43478260873</v>
      </c>
      <c r="AR31" s="86">
        <f t="shared" si="16"/>
        <v>257293.26086956527</v>
      </c>
    </row>
    <row r="32" spans="1:44" ht="15">
      <c r="A32" s="2"/>
      <c r="C32" s="87"/>
      <c r="D32" s="105"/>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row>
    <row r="33" spans="1:44" ht="15">
      <c r="A33" s="2"/>
      <c r="B33" s="2" t="s">
        <v>298</v>
      </c>
      <c r="C33" s="87"/>
      <c r="D33" s="73"/>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row>
    <row r="34" spans="1:44" ht="15">
      <c r="A34" s="2"/>
      <c r="B34" s="1" t="str">
        <f>Inputs!C47</f>
        <v>Portion of Heavy Vehicles</v>
      </c>
      <c r="C34" s="87" t="s">
        <v>66</v>
      </c>
      <c r="D34" s="73">
        <f>Inputs!$E$47</f>
        <v>0.03</v>
      </c>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row>
    <row r="35" spans="1:44" ht="15">
      <c r="A35" s="2"/>
      <c r="B35" s="1" t="s">
        <v>299</v>
      </c>
      <c r="C35" s="87" t="s">
        <v>297</v>
      </c>
      <c r="D35" s="105">
        <f>SUM(F35:AR35)</f>
        <v>5627101.3717391277</v>
      </c>
      <c r="F35" s="86">
        <f t="shared" ref="F35:AR35" si="17">F31*(1-$D$34)</f>
        <v>0</v>
      </c>
      <c r="G35" s="86">
        <f t="shared" si="17"/>
        <v>0</v>
      </c>
      <c r="H35" s="86">
        <f t="shared" si="17"/>
        <v>0</v>
      </c>
      <c r="I35" s="86">
        <f t="shared" si="17"/>
        <v>0</v>
      </c>
      <c r="J35" s="86">
        <f t="shared" si="17"/>
        <v>0</v>
      </c>
      <c r="K35" s="86">
        <f t="shared" si="17"/>
        <v>81431.5</v>
      </c>
      <c r="L35" s="86">
        <f t="shared" si="17"/>
        <v>86526.74130434783</v>
      </c>
      <c r="M35" s="86">
        <f t="shared" si="17"/>
        <v>91621.98260869566</v>
      </c>
      <c r="N35" s="86">
        <f t="shared" si="17"/>
        <v>96717.223913043475</v>
      </c>
      <c r="O35" s="86">
        <f t="shared" si="17"/>
        <v>101812.46521739129</v>
      </c>
      <c r="P35" s="86">
        <f t="shared" si="17"/>
        <v>106907.70652173911</v>
      </c>
      <c r="Q35" s="86">
        <f t="shared" si="17"/>
        <v>112002.94782608694</v>
      </c>
      <c r="R35" s="86">
        <f t="shared" si="17"/>
        <v>117098.18913043475</v>
      </c>
      <c r="S35" s="86">
        <f t="shared" si="17"/>
        <v>122193.43043478257</v>
      </c>
      <c r="T35" s="86">
        <f t="shared" si="17"/>
        <v>127288.67173913038</v>
      </c>
      <c r="U35" s="86">
        <f t="shared" si="17"/>
        <v>132383.91304347821</v>
      </c>
      <c r="V35" s="86">
        <f t="shared" si="17"/>
        <v>137479.15434782603</v>
      </c>
      <c r="W35" s="86">
        <f t="shared" si="17"/>
        <v>142574.39565217384</v>
      </c>
      <c r="X35" s="86">
        <f t="shared" si="17"/>
        <v>147669.63695652166</v>
      </c>
      <c r="Y35" s="86">
        <f t="shared" si="17"/>
        <v>152764.87826086947</v>
      </c>
      <c r="Z35" s="86">
        <f t="shared" si="17"/>
        <v>157860.11956521729</v>
      </c>
      <c r="AA35" s="86">
        <f t="shared" si="17"/>
        <v>162955.36086956511</v>
      </c>
      <c r="AB35" s="86">
        <f t="shared" si="17"/>
        <v>168050.60217391292</v>
      </c>
      <c r="AC35" s="86">
        <f t="shared" si="17"/>
        <v>173145.84347826074</v>
      </c>
      <c r="AD35" s="86">
        <f t="shared" si="17"/>
        <v>178241.08478260855</v>
      </c>
      <c r="AE35" s="86">
        <f t="shared" si="17"/>
        <v>183336.3260869564</v>
      </c>
      <c r="AF35" s="86">
        <f t="shared" si="17"/>
        <v>188431.56739130424</v>
      </c>
      <c r="AG35" s="86">
        <f t="shared" si="17"/>
        <v>193526.80869565206</v>
      </c>
      <c r="AH35" s="86">
        <f t="shared" si="17"/>
        <v>198622.0499999999</v>
      </c>
      <c r="AI35" s="86">
        <f t="shared" si="17"/>
        <v>203717.29130434775</v>
      </c>
      <c r="AJ35" s="86">
        <f t="shared" si="17"/>
        <v>208812.53260869559</v>
      </c>
      <c r="AK35" s="86">
        <f t="shared" si="17"/>
        <v>213907.77391304341</v>
      </c>
      <c r="AL35" s="86">
        <f t="shared" si="17"/>
        <v>219003.01521739125</v>
      </c>
      <c r="AM35" s="86">
        <f t="shared" si="17"/>
        <v>224098.25652173912</v>
      </c>
      <c r="AN35" s="86">
        <f t="shared" si="17"/>
        <v>229193.49782608697</v>
      </c>
      <c r="AO35" s="86">
        <f t="shared" si="17"/>
        <v>234288.73913043478</v>
      </c>
      <c r="AP35" s="86">
        <f t="shared" si="17"/>
        <v>239383.98043478263</v>
      </c>
      <c r="AQ35" s="86">
        <f t="shared" si="17"/>
        <v>244479.22173913047</v>
      </c>
      <c r="AR35" s="86">
        <f t="shared" si="17"/>
        <v>249574.46304347832</v>
      </c>
    </row>
    <row r="36" spans="1:44" ht="15">
      <c r="A36" s="2"/>
      <c r="B36" s="1" t="s">
        <v>300</v>
      </c>
      <c r="C36" s="87" t="s">
        <v>297</v>
      </c>
      <c r="D36" s="105">
        <f>SUM(F36:AR36)</f>
        <v>174034.06304347821</v>
      </c>
      <c r="F36" s="86">
        <f t="shared" ref="F36:AR36" si="18">F31*$D$34</f>
        <v>0</v>
      </c>
      <c r="G36" s="86">
        <f t="shared" si="18"/>
        <v>0</v>
      </c>
      <c r="H36" s="86">
        <f t="shared" si="18"/>
        <v>0</v>
      </c>
      <c r="I36" s="86">
        <f t="shared" si="18"/>
        <v>0</v>
      </c>
      <c r="J36" s="86">
        <f t="shared" si="18"/>
        <v>0</v>
      </c>
      <c r="K36" s="86">
        <f t="shared" si="18"/>
        <v>2518.5</v>
      </c>
      <c r="L36" s="86">
        <f t="shared" si="18"/>
        <v>2676.0847826086956</v>
      </c>
      <c r="M36" s="86">
        <f t="shared" si="18"/>
        <v>2833.6695652173917</v>
      </c>
      <c r="N36" s="86">
        <f t="shared" si="18"/>
        <v>2991.2543478260868</v>
      </c>
      <c r="O36" s="86">
        <f t="shared" si="18"/>
        <v>3148.8391304347824</v>
      </c>
      <c r="P36" s="86">
        <f t="shared" si="18"/>
        <v>3306.4239130434776</v>
      </c>
      <c r="Q36" s="86">
        <f t="shared" si="18"/>
        <v>3464.0086956521732</v>
      </c>
      <c r="R36" s="86">
        <f t="shared" si="18"/>
        <v>3621.5934782608683</v>
      </c>
      <c r="S36" s="86">
        <f t="shared" si="18"/>
        <v>3779.1782608695639</v>
      </c>
      <c r="T36" s="86">
        <f t="shared" si="18"/>
        <v>3936.7630434782591</v>
      </c>
      <c r="U36" s="86">
        <f t="shared" si="18"/>
        <v>4094.3478260869547</v>
      </c>
      <c r="V36" s="86">
        <f t="shared" si="18"/>
        <v>4251.9326086956498</v>
      </c>
      <c r="W36" s="86">
        <f t="shared" si="18"/>
        <v>4409.5173913043454</v>
      </c>
      <c r="X36" s="86">
        <f t="shared" si="18"/>
        <v>4567.102173913041</v>
      </c>
      <c r="Y36" s="86">
        <f t="shared" si="18"/>
        <v>4724.6869565217357</v>
      </c>
      <c r="Z36" s="86">
        <f t="shared" si="18"/>
        <v>4882.2717391304313</v>
      </c>
      <c r="AA36" s="86">
        <f t="shared" si="18"/>
        <v>5039.8565217391269</v>
      </c>
      <c r="AB36" s="86">
        <f t="shared" si="18"/>
        <v>5197.4413043478226</v>
      </c>
      <c r="AC36" s="86">
        <f t="shared" si="18"/>
        <v>5355.0260869565172</v>
      </c>
      <c r="AD36" s="86">
        <f t="shared" si="18"/>
        <v>5512.6108695652129</v>
      </c>
      <c r="AE36" s="86">
        <f t="shared" si="18"/>
        <v>5670.1956521739094</v>
      </c>
      <c r="AF36" s="86">
        <f t="shared" si="18"/>
        <v>5827.7804347826059</v>
      </c>
      <c r="AG36" s="86">
        <f t="shared" si="18"/>
        <v>5985.3652173913006</v>
      </c>
      <c r="AH36" s="86">
        <f t="shared" si="18"/>
        <v>6142.9499999999971</v>
      </c>
      <c r="AI36" s="86">
        <f t="shared" si="18"/>
        <v>6300.5347826086936</v>
      </c>
      <c r="AJ36" s="86">
        <f t="shared" si="18"/>
        <v>6458.1195652173892</v>
      </c>
      <c r="AK36" s="86">
        <f t="shared" si="18"/>
        <v>6615.7043478260848</v>
      </c>
      <c r="AL36" s="86">
        <f t="shared" si="18"/>
        <v>6773.2891304347813</v>
      </c>
      <c r="AM36" s="86">
        <f t="shared" si="18"/>
        <v>6930.8739130434778</v>
      </c>
      <c r="AN36" s="86">
        <f t="shared" si="18"/>
        <v>7088.4586956521734</v>
      </c>
      <c r="AO36" s="86">
        <f t="shared" si="18"/>
        <v>7246.0434782608691</v>
      </c>
      <c r="AP36" s="86">
        <f t="shared" si="18"/>
        <v>7403.6282608695656</v>
      </c>
      <c r="AQ36" s="86">
        <f t="shared" si="18"/>
        <v>7561.2130434782621</v>
      </c>
      <c r="AR36" s="86">
        <f t="shared" si="18"/>
        <v>7718.7978260869577</v>
      </c>
    </row>
    <row r="37" spans="1:44" ht="15">
      <c r="A37" s="2"/>
      <c r="C37" s="87"/>
      <c r="D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row>
    <row r="38" spans="1:44" ht="15">
      <c r="B38" s="2" t="s">
        <v>301</v>
      </c>
      <c r="C38" s="87"/>
      <c r="D38" s="105"/>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row>
    <row r="39" spans="1:44">
      <c r="B39" s="1" t="s">
        <v>302</v>
      </c>
      <c r="C39" s="87" t="s">
        <v>303</v>
      </c>
      <c r="D39" s="110"/>
      <c r="F39" s="18">
        <f>IFERROR(HLOOKUP(F$7,'REF Fuel Prices'!$C$117:$AF$130,13),0)</f>
        <v>0</v>
      </c>
      <c r="G39" s="18">
        <f>IFERROR(HLOOKUP(G$7,'REF Fuel Prices'!$C$117:$AF$130,13),0)</f>
        <v>0</v>
      </c>
      <c r="H39" s="18">
        <f>IFERROR(HLOOKUP(H$7,'REF Fuel Prices'!$C$117:$AF$130,13),0)</f>
        <v>0</v>
      </c>
      <c r="I39" s="18">
        <f>IFERROR(HLOOKUP(I$7,'REF Fuel Prices'!$C$117:$AF$130,13),0)</f>
        <v>2.735252</v>
      </c>
      <c r="J39" s="18">
        <f>IFERROR(HLOOKUP(J$7,'REF Fuel Prices'!$C$117:$AF$130,13),0)</f>
        <v>2.6226926148488445</v>
      </c>
      <c r="K39" s="18">
        <f>IFERROR(HLOOKUP(K$7,'REF Fuel Prices'!$C$117:$AF$130,13),0)</f>
        <v>2.3467237457587871</v>
      </c>
      <c r="L39" s="18">
        <f>IFERROR(HLOOKUP(L$7,'REF Fuel Prices'!$C$117:$AF$130,13),0)</f>
        <v>2.3311739240164515</v>
      </c>
      <c r="M39" s="18">
        <f>IFERROR(HLOOKUP(M$7,'REF Fuel Prices'!$C$117:$AF$130,13),0)</f>
        <v>2.3071348637691638</v>
      </c>
      <c r="N39" s="18">
        <f>IFERROR(HLOOKUP(N$7,'REF Fuel Prices'!$C$117:$AF$130,13),0)</f>
        <v>2.3309777478313118</v>
      </c>
      <c r="O39" s="18">
        <f>IFERROR(HLOOKUP(O$7,'REF Fuel Prices'!$C$117:$AF$130,13),0)</f>
        <v>2.3583227726694398</v>
      </c>
      <c r="P39" s="18">
        <f>IFERROR(HLOOKUP(P$7,'REF Fuel Prices'!$C$117:$AF$130,13),0)</f>
        <v>2.3832960890091894</v>
      </c>
      <c r="Q39" s="18">
        <f>IFERROR(HLOOKUP(Q$7,'REF Fuel Prices'!$C$117:$AF$130,13),0)</f>
        <v>2.4006590009648621</v>
      </c>
      <c r="R39" s="18">
        <f>IFERROR(HLOOKUP(R$7,'REF Fuel Prices'!$C$117:$AF$130,13),0)</f>
        <v>2.4594493968247022</v>
      </c>
      <c r="S39" s="18">
        <f>IFERROR(HLOOKUP(S$7,'REF Fuel Prices'!$C$117:$AF$130,13),0)</f>
        <v>2.5376682727241149</v>
      </c>
      <c r="T39" s="18">
        <f>IFERROR(HLOOKUP(T$7,'REF Fuel Prices'!$C$117:$AF$130,13),0)</f>
        <v>2.5628720740885589</v>
      </c>
      <c r="U39" s="18">
        <f>IFERROR(HLOOKUP(U$7,'REF Fuel Prices'!$C$117:$AF$130,13),0)</f>
        <v>2.5835409506350722</v>
      </c>
      <c r="V39" s="18">
        <f>IFERROR(HLOOKUP(V$7,'REF Fuel Prices'!$C$117:$AF$130,13),0)</f>
        <v>2.6030019800865287</v>
      </c>
      <c r="W39" s="18">
        <f>IFERROR(HLOOKUP(W$7,'REF Fuel Prices'!$C$117:$AF$130,13),0)</f>
        <v>2.6122328173541418</v>
      </c>
      <c r="X39" s="18">
        <f>IFERROR(HLOOKUP(X$7,'REF Fuel Prices'!$C$117:$AF$130,13),0)</f>
        <v>2.6303566817768389</v>
      </c>
      <c r="Y39" s="18">
        <f>IFERROR(HLOOKUP(Y$7,'REF Fuel Prices'!$C$117:$AF$130,13),0)</f>
        <v>2.6463929852697685</v>
      </c>
      <c r="Z39" s="18">
        <f>IFERROR(HLOOKUP(Z$7,'REF Fuel Prices'!$C$117:$AF$130,13),0)</f>
        <v>2.674964331193483</v>
      </c>
      <c r="AA39" s="18">
        <f>IFERROR(HLOOKUP(AA$7,'REF Fuel Prices'!$C$117:$AF$130,13),0)</f>
        <v>2.6759284975563253</v>
      </c>
      <c r="AB39" s="18">
        <f>IFERROR(HLOOKUP(AB$7,'REF Fuel Prices'!$C$117:$AF$130,13),0)</f>
        <v>2.6964865301596657</v>
      </c>
      <c r="AC39" s="18">
        <f>IFERROR(HLOOKUP(AC$7,'REF Fuel Prices'!$C$117:$AF$130,13),0)</f>
        <v>2.713176461031785</v>
      </c>
      <c r="AD39" s="18">
        <f>IFERROR(HLOOKUP(AD$7,'REF Fuel Prices'!$C$117:$AF$130,13),0)</f>
        <v>2.7171052630175998</v>
      </c>
      <c r="AE39" s="18">
        <f>IFERROR(HLOOKUP(AE$7,'REF Fuel Prices'!$C$117:$AF$130,13),0)</f>
        <v>2.7436726208258442</v>
      </c>
      <c r="AF39" s="18">
        <f>IFERROR(HLOOKUP(AF$7,'REF Fuel Prices'!$C$117:$AF$130,13),0)</f>
        <v>2.7692168714443204</v>
      </c>
      <c r="AG39" s="18">
        <f>IFERROR(HLOOKUP(AG$7,'REF Fuel Prices'!$C$117:$AF$130,13),0)</f>
        <v>2.7776902751002481</v>
      </c>
      <c r="AH39" s="18">
        <f>IFERROR(HLOOKUP(AH$7,'REF Fuel Prices'!$C$117:$AF$130,13),0)</f>
        <v>2.799528291333091</v>
      </c>
      <c r="AI39" s="18">
        <f>IFERROR(HLOOKUP(AI$7,'REF Fuel Prices'!$C$117:$AF$130,13),0)</f>
        <v>2.8077456982631182</v>
      </c>
      <c r="AJ39" s="18">
        <f>IFERROR(HLOOKUP(AJ$7,'REF Fuel Prices'!$C$117:$AF$130,13),0)</f>
        <v>2.7997957243388432</v>
      </c>
      <c r="AK39" s="18">
        <f>IFERROR(HLOOKUP(AK$7,'REF Fuel Prices'!$C$117:$AF$130,13),0)</f>
        <v>2.8010466774118008</v>
      </c>
      <c r="AL39" s="18">
        <f>IFERROR(HLOOKUP(AL$7,'REF Fuel Prices'!$C$117:$AF$130,13),0)</f>
        <v>2.8000948270426447</v>
      </c>
      <c r="AM39" s="18">
        <f>IFERROR(HLOOKUP(AM$7,'REF Fuel Prices'!$C$117:$AF$130,13),0)</f>
        <v>2.8000948270426447</v>
      </c>
      <c r="AN39" s="18">
        <f>IFERROR(HLOOKUP(AN$7,'REF Fuel Prices'!$C$117:$AF$130,13),0)</f>
        <v>2.8000948270426447</v>
      </c>
      <c r="AO39" s="18">
        <f>IFERROR(HLOOKUP(AO$7,'REF Fuel Prices'!$C$117:$AF$130,13),0)</f>
        <v>2.8000948270426447</v>
      </c>
      <c r="AP39" s="18">
        <f>IFERROR(HLOOKUP(AP$7,'REF Fuel Prices'!$C$117:$AF$130,13),0)</f>
        <v>2.8000948270426447</v>
      </c>
      <c r="AQ39" s="18">
        <f>IFERROR(HLOOKUP(AQ$7,'REF Fuel Prices'!$C$117:$AF$130,13),0)</f>
        <v>2.8000948270426447</v>
      </c>
      <c r="AR39" s="18">
        <f>IFERROR(HLOOKUP(AR$7,'REF Fuel Prices'!$C$117:$AF$130,13),0)</f>
        <v>2.8000948270426447</v>
      </c>
    </row>
    <row r="40" spans="1:44">
      <c r="B40" s="1" t="s">
        <v>304</v>
      </c>
      <c r="C40" s="87" t="s">
        <v>303</v>
      </c>
      <c r="D40" s="110"/>
      <c r="F40" s="18">
        <f>IFERROR(HLOOKUP(F$7,'REF Fuel Prices'!$C$117:$AF$130,14),0)</f>
        <v>0</v>
      </c>
      <c r="G40" s="18">
        <f>IFERROR(HLOOKUP(G$7,'REF Fuel Prices'!$C$117:$AF$130,14),0)</f>
        <v>0</v>
      </c>
      <c r="H40" s="18">
        <f>IFERROR(HLOOKUP(H$7,'REF Fuel Prices'!$C$117:$AF$130,14),0)</f>
        <v>0</v>
      </c>
      <c r="I40" s="18">
        <f>IFERROR(HLOOKUP(I$7,'REF Fuel Prices'!$C$117:$AF$130,14),0)</f>
        <v>2.8226489999999997</v>
      </c>
      <c r="J40" s="18">
        <f>IFERROR(HLOOKUP(J$7,'REF Fuel Prices'!$C$117:$AF$130,14),0)</f>
        <v>2.9506215045594262</v>
      </c>
      <c r="K40" s="18">
        <f>IFERROR(HLOOKUP(K$7,'REF Fuel Prices'!$C$117:$AF$130,14),0)</f>
        <v>2.7543550779283219</v>
      </c>
      <c r="L40" s="18">
        <f>IFERROR(HLOOKUP(L$7,'REF Fuel Prices'!$C$117:$AF$130,14),0)</f>
        <v>2.9795332526380558</v>
      </c>
      <c r="M40" s="18">
        <f>IFERROR(HLOOKUP(M$7,'REF Fuel Prices'!$C$117:$AF$130,14),0)</f>
        <v>2.99128118432301</v>
      </c>
      <c r="N40" s="18">
        <f>IFERROR(HLOOKUP(N$7,'REF Fuel Prices'!$C$117:$AF$130,14),0)</f>
        <v>3.019534262945339</v>
      </c>
      <c r="O40" s="18">
        <f>IFERROR(HLOOKUP(O$7,'REF Fuel Prices'!$C$117:$AF$130,14),0)</f>
        <v>3.0736717708493031</v>
      </c>
      <c r="P40" s="18">
        <f>IFERROR(HLOOKUP(P$7,'REF Fuel Prices'!$C$117:$AF$130,14),0)</f>
        <v>3.1270111932997358</v>
      </c>
      <c r="Q40" s="18">
        <f>IFERROR(HLOOKUP(Q$7,'REF Fuel Prices'!$C$117:$AF$130,14),0)</f>
        <v>3.1594951206543307</v>
      </c>
      <c r="R40" s="18">
        <f>IFERROR(HLOOKUP(R$7,'REF Fuel Prices'!$C$117:$AF$130,14),0)</f>
        <v>3.1485367387496073</v>
      </c>
      <c r="S40" s="18">
        <f>IFERROR(HLOOKUP(S$7,'REF Fuel Prices'!$C$117:$AF$130,14),0)</f>
        <v>3.2417548268566931</v>
      </c>
      <c r="T40" s="18">
        <f>IFERROR(HLOOKUP(T$7,'REF Fuel Prices'!$C$117:$AF$130,14),0)</f>
        <v>3.2771152761133195</v>
      </c>
      <c r="U40" s="18">
        <f>IFERROR(HLOOKUP(U$7,'REF Fuel Prices'!$C$117:$AF$130,14),0)</f>
        <v>3.2984672628727623</v>
      </c>
      <c r="V40" s="18">
        <f>IFERROR(HLOOKUP(V$7,'REF Fuel Prices'!$C$117:$AF$130,14),0)</f>
        <v>3.3309198927585917</v>
      </c>
      <c r="W40" s="18">
        <f>IFERROR(HLOOKUP(W$7,'REF Fuel Prices'!$C$117:$AF$130,14),0)</f>
        <v>3.3524781582894461</v>
      </c>
      <c r="X40" s="18">
        <f>IFERROR(HLOOKUP(X$7,'REF Fuel Prices'!$C$117:$AF$130,14),0)</f>
        <v>3.3903167980274476</v>
      </c>
      <c r="Y40" s="18">
        <f>IFERROR(HLOOKUP(Y$7,'REF Fuel Prices'!$C$117:$AF$130,14),0)</f>
        <v>3.4396515670880587</v>
      </c>
      <c r="Z40" s="18">
        <f>IFERROR(HLOOKUP(Z$7,'REF Fuel Prices'!$C$117:$AF$130,14),0)</f>
        <v>3.4740958540771745</v>
      </c>
      <c r="AA40" s="18">
        <f>IFERROR(HLOOKUP(AA$7,'REF Fuel Prices'!$C$117:$AF$130,14),0)</f>
        <v>3.4940593713131838</v>
      </c>
      <c r="AB40" s="18">
        <f>IFERROR(HLOOKUP(AB$7,'REF Fuel Prices'!$C$117:$AF$130,14),0)</f>
        <v>3.5300343890473957</v>
      </c>
      <c r="AC40" s="18">
        <f>IFERROR(HLOOKUP(AC$7,'REF Fuel Prices'!$C$117:$AF$130,14),0)</f>
        <v>3.5573400079334472</v>
      </c>
      <c r="AD40" s="18">
        <f>IFERROR(HLOOKUP(AD$7,'REF Fuel Prices'!$C$117:$AF$130,14),0)</f>
        <v>3.5652056308792104</v>
      </c>
      <c r="AE40" s="18">
        <f>IFERROR(HLOOKUP(AE$7,'REF Fuel Prices'!$C$117:$AF$130,14),0)</f>
        <v>3.6212167190724798</v>
      </c>
      <c r="AF40" s="18">
        <f>IFERROR(HLOOKUP(AF$7,'REF Fuel Prices'!$C$117:$AF$130,14),0)</f>
        <v>3.680994884415393</v>
      </c>
      <c r="AG40" s="18">
        <f>IFERROR(HLOOKUP(AG$7,'REF Fuel Prices'!$C$117:$AF$130,14),0)</f>
        <v>3.7018930578777303</v>
      </c>
      <c r="AH40" s="18">
        <f>IFERROR(HLOOKUP(AH$7,'REF Fuel Prices'!$C$117:$AF$130,14),0)</f>
        <v>3.7421131504663743</v>
      </c>
      <c r="AI40" s="18">
        <f>IFERROR(HLOOKUP(AI$7,'REF Fuel Prices'!$C$117:$AF$130,14),0)</f>
        <v>3.7596738756684909</v>
      </c>
      <c r="AJ40" s="18">
        <f>IFERROR(HLOOKUP(AJ$7,'REF Fuel Prices'!$C$117:$AF$130,14),0)</f>
        <v>3.7542935562651851</v>
      </c>
      <c r="AK40" s="18">
        <f>IFERROR(HLOOKUP(AK$7,'REF Fuel Prices'!$C$117:$AF$130,14),0)</f>
        <v>3.7622715655760621</v>
      </c>
      <c r="AL40" s="18">
        <f>IFERROR(HLOOKUP(AL$7,'REF Fuel Prices'!$C$117:$AF$130,14),0)</f>
        <v>3.7511040596754945</v>
      </c>
      <c r="AM40" s="18">
        <f>IFERROR(HLOOKUP(AM$7,'REF Fuel Prices'!$C$117:$AF$130,14),0)</f>
        <v>3.7511040596754945</v>
      </c>
      <c r="AN40" s="18">
        <f>IFERROR(HLOOKUP(AN$7,'REF Fuel Prices'!$C$117:$AF$130,14),0)</f>
        <v>3.7511040596754945</v>
      </c>
      <c r="AO40" s="18">
        <f>IFERROR(HLOOKUP(AO$7,'REF Fuel Prices'!$C$117:$AF$130,14),0)</f>
        <v>3.7511040596754945</v>
      </c>
      <c r="AP40" s="18">
        <f>IFERROR(HLOOKUP(AP$7,'REF Fuel Prices'!$C$117:$AF$130,14),0)</f>
        <v>3.7511040596754945</v>
      </c>
      <c r="AQ40" s="18">
        <f>IFERROR(HLOOKUP(AQ$7,'REF Fuel Prices'!$C$117:$AF$130,14),0)</f>
        <v>3.7511040596754945</v>
      </c>
      <c r="AR40" s="18">
        <f>IFERROR(HLOOKUP(AR$7,'REF Fuel Prices'!$C$117:$AF$130,14),0)</f>
        <v>3.7511040596754945</v>
      </c>
    </row>
    <row r="41" spans="1:44" ht="15">
      <c r="A41" s="2"/>
      <c r="B41" s="1" t="s">
        <v>305</v>
      </c>
      <c r="C41" s="22" t="s">
        <v>288</v>
      </c>
      <c r="D41" s="19">
        <f>SUM(F41:AR41)</f>
        <v>15114715.243684433</v>
      </c>
      <c r="F41" s="19">
        <f t="shared" ref="F41:J41" si="19">F35*F39</f>
        <v>0</v>
      </c>
      <c r="G41" s="19">
        <f t="shared" si="19"/>
        <v>0</v>
      </c>
      <c r="H41" s="19">
        <f t="shared" si="19"/>
        <v>0</v>
      </c>
      <c r="I41" s="19">
        <f t="shared" si="19"/>
        <v>0</v>
      </c>
      <c r="J41" s="19">
        <f t="shared" si="19"/>
        <v>0</v>
      </c>
      <c r="K41" s="19">
        <f>K35*K39</f>
        <v>191097.23470275666</v>
      </c>
      <c r="L41" s="19">
        <f t="shared" ref="L41:AR41" si="20">L35*L39</f>
        <v>201708.88305881291</v>
      </c>
      <c r="M41" s="19">
        <f t="shared" si="20"/>
        <v>211384.27036417375</v>
      </c>
      <c r="N41" s="19">
        <f t="shared" si="20"/>
        <v>225445.69677332276</v>
      </c>
      <c r="O41" s="19">
        <f t="shared" si="20"/>
        <v>240106.65526378911</v>
      </c>
      <c r="P41" s="19">
        <f t="shared" si="20"/>
        <v>254792.71883820303</v>
      </c>
      <c r="Q41" s="19">
        <f t="shared" si="20"/>
        <v>268880.88483329344</v>
      </c>
      <c r="R41" s="19">
        <f t="shared" si="20"/>
        <v>287997.07062611263</v>
      </c>
      <c r="S41" s="19">
        <f t="shared" si="20"/>
        <v>310086.39154966897</v>
      </c>
      <c r="T41" s="19">
        <f t="shared" si="20"/>
        <v>326224.5821480428</v>
      </c>
      <c r="U41" s="19">
        <f t="shared" si="20"/>
        <v>342019.26055313845</v>
      </c>
      <c r="V41" s="19">
        <f t="shared" si="20"/>
        <v>357858.51098801265</v>
      </c>
      <c r="W41" s="19">
        <f t="shared" si="20"/>
        <v>372437.51523704221</v>
      </c>
      <c r="X41" s="19">
        <f t="shared" si="20"/>
        <v>388423.81626414676</v>
      </c>
      <c r="Y41" s="19">
        <f t="shared" si="20"/>
        <v>404275.90222515515</v>
      </c>
      <c r="Z41" s="19">
        <f t="shared" si="20"/>
        <v>422270.18915489473</v>
      </c>
      <c r="AA41" s="19">
        <f t="shared" si="20"/>
        <v>436056.89398044418</v>
      </c>
      <c r="AB41" s="19">
        <f t="shared" si="20"/>
        <v>453146.18514717685</v>
      </c>
      <c r="AC41" s="19">
        <f t="shared" si="20"/>
        <v>469775.22685071081</v>
      </c>
      <c r="AD41" s="19">
        <f t="shared" si="20"/>
        <v>484299.78954879189</v>
      </c>
      <c r="AE41" s="19">
        <f t="shared" si="20"/>
        <v>503014.85828758124</v>
      </c>
      <c r="AF41" s="19">
        <f t="shared" si="20"/>
        <v>521807.87553269713</v>
      </c>
      <c r="AG41" s="19">
        <f t="shared" si="20"/>
        <v>537557.53448509891</v>
      </c>
      <c r="AH41" s="19">
        <f t="shared" si="20"/>
        <v>556048.04825757549</v>
      </c>
      <c r="AI41" s="19">
        <f t="shared" si="20"/>
        <v>571986.34832159686</v>
      </c>
      <c r="AJ41" s="19">
        <f t="shared" si="20"/>
        <v>584632.43598619115</v>
      </c>
      <c r="AK41" s="19">
        <f t="shared" si="20"/>
        <v>599165.65939168492</v>
      </c>
      <c r="AL41" s="19">
        <f t="shared" si="20"/>
        <v>613229.21001695888</v>
      </c>
      <c r="AM41" s="19">
        <f t="shared" si="20"/>
        <v>627496.3688357973</v>
      </c>
      <c r="AN41" s="19">
        <f t="shared" si="20"/>
        <v>641763.52765463572</v>
      </c>
      <c r="AO41" s="19">
        <f t="shared" si="20"/>
        <v>656030.68647347414</v>
      </c>
      <c r="AP41" s="19">
        <f t="shared" si="20"/>
        <v>670297.84529231256</v>
      </c>
      <c r="AQ41" s="19">
        <f t="shared" si="20"/>
        <v>684565.00411115086</v>
      </c>
      <c r="AR41" s="19">
        <f t="shared" si="20"/>
        <v>698832.16292998928</v>
      </c>
    </row>
    <row r="42" spans="1:44">
      <c r="B42" s="1" t="s">
        <v>306</v>
      </c>
      <c r="C42" s="22" t="s">
        <v>288</v>
      </c>
      <c r="D42" s="19">
        <f>SUM(F42:AR42)</f>
        <v>615961.71954204212</v>
      </c>
      <c r="F42" s="19">
        <f t="shared" ref="F42:J42" si="21">F36*F40</f>
        <v>0</v>
      </c>
      <c r="G42" s="19">
        <f t="shared" si="21"/>
        <v>0</v>
      </c>
      <c r="H42" s="19">
        <f t="shared" si="21"/>
        <v>0</v>
      </c>
      <c r="I42" s="19">
        <f t="shared" si="21"/>
        <v>0</v>
      </c>
      <c r="J42" s="19">
        <f t="shared" si="21"/>
        <v>0</v>
      </c>
      <c r="K42" s="19">
        <f>K36*K40</f>
        <v>6936.8432637624783</v>
      </c>
      <c r="L42" s="19">
        <f t="shared" ref="L42:AR42" si="22">L36*L40</f>
        <v>7973.4835966612909</v>
      </c>
      <c r="M42" s="19">
        <f t="shared" si="22"/>
        <v>8476.3024530235489</v>
      </c>
      <c r="N42" s="19">
        <f t="shared" si="22"/>
        <v>9032.1949924450837</v>
      </c>
      <c r="O42" s="19">
        <f t="shared" si="22"/>
        <v>9678.4979461630573</v>
      </c>
      <c r="P42" s="19">
        <f t="shared" si="22"/>
        <v>10339.224585880867</v>
      </c>
      <c r="Q42" s="19">
        <f t="shared" si="22"/>
        <v>10944.518571817214</v>
      </c>
      <c r="R42" s="19">
        <f t="shared" si="22"/>
        <v>11402.72011912032</v>
      </c>
      <c r="S42" s="19">
        <f t="shared" si="22"/>
        <v>12251.169368725792</v>
      </c>
      <c r="T42" s="19">
        <f t="shared" si="22"/>
        <v>12901.226308220967</v>
      </c>
      <c r="U42" s="19">
        <f t="shared" si="22"/>
        <v>13505.072267162082</v>
      </c>
      <c r="V42" s="19">
        <f t="shared" si="22"/>
        <v>14162.846908973273</v>
      </c>
      <c r="W42" s="19">
        <f t="shared" si="22"/>
        <v>14782.810742945274</v>
      </c>
      <c r="X42" s="19">
        <f t="shared" si="22"/>
        <v>15483.923218525057</v>
      </c>
      <c r="Y42" s="19">
        <f t="shared" si="22"/>
        <v>16251.276894000499</v>
      </c>
      <c r="Z42" s="19">
        <f t="shared" si="22"/>
        <v>16961.480007391187</v>
      </c>
      <c r="AA42" s="19">
        <f t="shared" si="22"/>
        <v>17609.557909856463</v>
      </c>
      <c r="AB42" s="19">
        <f t="shared" si="22"/>
        <v>18347.146539403166</v>
      </c>
      <c r="AC42" s="19">
        <f t="shared" si="22"/>
        <v>19049.648542657713</v>
      </c>
      <c r="AD42" s="19">
        <f t="shared" si="22"/>
        <v>19653.591313019839</v>
      </c>
      <c r="AE42" s="19">
        <f t="shared" si="22"/>
        <v>20533.007296064243</v>
      </c>
      <c r="AF42" s="19">
        <f t="shared" si="22"/>
        <v>21452.029967930888</v>
      </c>
      <c r="AG42" s="19">
        <f t="shared" si="22"/>
        <v>22157.181947123689</v>
      </c>
      <c r="AH42" s="19">
        <f t="shared" si="22"/>
        <v>22987.613977657402</v>
      </c>
      <c r="AI42" s="19">
        <f t="shared" si="22"/>
        <v>23687.956024914558</v>
      </c>
      <c r="AJ42" s="19">
        <f t="shared" si="22"/>
        <v>24245.676669285764</v>
      </c>
      <c r="AK42" s="19">
        <f t="shared" si="22"/>
        <v>24890.076354084005</v>
      </c>
      <c r="AL42" s="19">
        <f t="shared" si="22"/>
        <v>25407.312354529808</v>
      </c>
      <c r="AM42" s="19">
        <f t="shared" si="22"/>
        <v>25998.429272316371</v>
      </c>
      <c r="AN42" s="19">
        <f t="shared" si="22"/>
        <v>26589.54619010293</v>
      </c>
      <c r="AO42" s="19">
        <f t="shared" si="22"/>
        <v>27180.663107889486</v>
      </c>
      <c r="AP42" s="19">
        <f t="shared" si="22"/>
        <v>27771.780025676049</v>
      </c>
      <c r="AQ42" s="19">
        <f t="shared" si="22"/>
        <v>28362.896943462609</v>
      </c>
      <c r="AR42" s="19">
        <f t="shared" si="22"/>
        <v>28954.013861249168</v>
      </c>
    </row>
    <row r="43" spans="1:44">
      <c r="C43" s="22"/>
      <c r="D43" s="86"/>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row>
    <row r="44" spans="1:44" ht="15">
      <c r="A44" s="2" t="s">
        <v>276</v>
      </c>
      <c r="C44" s="87"/>
      <c r="D44" s="86"/>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row>
    <row r="45" spans="1:44">
      <c r="B45" s="1" t="s">
        <v>277</v>
      </c>
      <c r="C45" s="22" t="s">
        <v>267</v>
      </c>
      <c r="D45" s="86">
        <f>SUM(F45:AR45)</f>
        <v>15730676.963226475</v>
      </c>
      <c r="F45" s="19">
        <f t="shared" ref="F45:J45" si="23">F41+F42</f>
        <v>0</v>
      </c>
      <c r="G45" s="19">
        <f t="shared" si="23"/>
        <v>0</v>
      </c>
      <c r="H45" s="19">
        <f t="shared" si="23"/>
        <v>0</v>
      </c>
      <c r="I45" s="19">
        <f t="shared" si="23"/>
        <v>0</v>
      </c>
      <c r="J45" s="19">
        <f t="shared" si="23"/>
        <v>0</v>
      </c>
      <c r="K45" s="19">
        <f>K41+K42</f>
        <v>198034.07796651914</v>
      </c>
      <c r="L45" s="19">
        <f t="shared" ref="L45:AR45" si="24">L41+L42</f>
        <v>209682.36665547421</v>
      </c>
      <c r="M45" s="19">
        <f t="shared" si="24"/>
        <v>219860.5728171973</v>
      </c>
      <c r="N45" s="19">
        <f t="shared" si="24"/>
        <v>234477.89176576785</v>
      </c>
      <c r="O45" s="19">
        <f t="shared" si="24"/>
        <v>249785.15320995217</v>
      </c>
      <c r="P45" s="19">
        <f t="shared" si="24"/>
        <v>265131.94342408387</v>
      </c>
      <c r="Q45" s="19">
        <f t="shared" si="24"/>
        <v>279825.40340511064</v>
      </c>
      <c r="R45" s="19">
        <f t="shared" si="24"/>
        <v>299399.79074523295</v>
      </c>
      <c r="S45" s="19">
        <f t="shared" si="24"/>
        <v>322337.56091839477</v>
      </c>
      <c r="T45" s="19">
        <f t="shared" si="24"/>
        <v>339125.80845626374</v>
      </c>
      <c r="U45" s="19">
        <f t="shared" si="24"/>
        <v>355524.33282030054</v>
      </c>
      <c r="V45" s="19">
        <f t="shared" si="24"/>
        <v>372021.35789698595</v>
      </c>
      <c r="W45" s="19">
        <f t="shared" si="24"/>
        <v>387220.32597998751</v>
      </c>
      <c r="X45" s="19">
        <f t="shared" si="24"/>
        <v>403907.73948267184</v>
      </c>
      <c r="Y45" s="19">
        <f t="shared" si="24"/>
        <v>420527.17911915563</v>
      </c>
      <c r="Z45" s="19">
        <f t="shared" si="24"/>
        <v>439231.66916228592</v>
      </c>
      <c r="AA45" s="19">
        <f t="shared" si="24"/>
        <v>453666.45189030061</v>
      </c>
      <c r="AB45" s="19">
        <f t="shared" si="24"/>
        <v>471493.33168658003</v>
      </c>
      <c r="AC45" s="19">
        <f t="shared" si="24"/>
        <v>488824.87539336854</v>
      </c>
      <c r="AD45" s="19">
        <f t="shared" si="24"/>
        <v>503953.38086181175</v>
      </c>
      <c r="AE45" s="19">
        <f t="shared" si="24"/>
        <v>523547.86558364547</v>
      </c>
      <c r="AF45" s="19">
        <f t="shared" si="24"/>
        <v>543259.90550062805</v>
      </c>
      <c r="AG45" s="19">
        <f t="shared" si="24"/>
        <v>559714.71643222263</v>
      </c>
      <c r="AH45" s="19">
        <f t="shared" si="24"/>
        <v>579035.66223523288</v>
      </c>
      <c r="AI45" s="19">
        <f t="shared" si="24"/>
        <v>595674.30434651137</v>
      </c>
      <c r="AJ45" s="19">
        <f t="shared" si="24"/>
        <v>608878.1126554769</v>
      </c>
      <c r="AK45" s="19">
        <f t="shared" si="24"/>
        <v>624055.73574576888</v>
      </c>
      <c r="AL45" s="19">
        <f t="shared" si="24"/>
        <v>638636.52237148874</v>
      </c>
      <c r="AM45" s="19">
        <f t="shared" si="24"/>
        <v>653494.7981081137</v>
      </c>
      <c r="AN45" s="19">
        <f t="shared" si="24"/>
        <v>668353.07384473865</v>
      </c>
      <c r="AO45" s="19">
        <f t="shared" si="24"/>
        <v>683211.34958136361</v>
      </c>
      <c r="AP45" s="19">
        <f t="shared" si="24"/>
        <v>698069.62531798857</v>
      </c>
      <c r="AQ45" s="19">
        <f t="shared" si="24"/>
        <v>712927.90105461353</v>
      </c>
      <c r="AR45" s="19">
        <f t="shared" si="24"/>
        <v>727786.17679123848</v>
      </c>
    </row>
    <row r="46" spans="1:44">
      <c r="C46" s="12"/>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row>
    <row r="47" spans="1:44" s="9" customFormat="1">
      <c r="A47" s="8" t="s">
        <v>225</v>
      </c>
      <c r="B47" s="13"/>
      <c r="C47" s="13"/>
    </row>
    <row r="48" spans="1:44" ht="15">
      <c r="A48" s="2" t="s">
        <v>291</v>
      </c>
    </row>
    <row r="49" spans="1:44" ht="15">
      <c r="B49" s="2" t="s">
        <v>292</v>
      </c>
      <c r="C49" s="87"/>
      <c r="D49" s="86"/>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row>
    <row r="50" spans="1:44">
      <c r="B50" s="1" t="s">
        <v>174</v>
      </c>
      <c r="C50" s="87" t="s">
        <v>172</v>
      </c>
      <c r="D50" s="105">
        <f>Inputs!$E$130</f>
        <v>196</v>
      </c>
      <c r="F50" s="109">
        <f t="shared" ref="F50:AR50" si="25">IF(F$7=$D$51,$D$50,0)</f>
        <v>0</v>
      </c>
      <c r="G50" s="109">
        <f t="shared" si="25"/>
        <v>0</v>
      </c>
      <c r="H50" s="109">
        <f t="shared" si="25"/>
        <v>0</v>
      </c>
      <c r="I50" s="109">
        <f t="shared" si="25"/>
        <v>0</v>
      </c>
      <c r="J50" s="109">
        <f t="shared" si="25"/>
        <v>0</v>
      </c>
      <c r="K50" s="109">
        <f t="shared" si="25"/>
        <v>196</v>
      </c>
      <c r="L50" s="109">
        <f t="shared" si="25"/>
        <v>0</v>
      </c>
      <c r="M50" s="109">
        <f t="shared" si="25"/>
        <v>0</v>
      </c>
      <c r="N50" s="109">
        <f t="shared" si="25"/>
        <v>0</v>
      </c>
      <c r="O50" s="109">
        <f t="shared" si="25"/>
        <v>0</v>
      </c>
      <c r="P50" s="109">
        <f t="shared" si="25"/>
        <v>0</v>
      </c>
      <c r="Q50" s="109">
        <f t="shared" si="25"/>
        <v>0</v>
      </c>
      <c r="R50" s="109">
        <f t="shared" si="25"/>
        <v>0</v>
      </c>
      <c r="S50" s="109">
        <f t="shared" si="25"/>
        <v>0</v>
      </c>
      <c r="T50" s="109">
        <f t="shared" si="25"/>
        <v>0</v>
      </c>
      <c r="U50" s="109">
        <f t="shared" si="25"/>
        <v>0</v>
      </c>
      <c r="V50" s="109">
        <f t="shared" si="25"/>
        <v>0</v>
      </c>
      <c r="W50" s="109">
        <f t="shared" si="25"/>
        <v>0</v>
      </c>
      <c r="X50" s="109">
        <f t="shared" si="25"/>
        <v>0</v>
      </c>
      <c r="Y50" s="109">
        <f t="shared" si="25"/>
        <v>0</v>
      </c>
      <c r="Z50" s="109">
        <f t="shared" si="25"/>
        <v>0</v>
      </c>
      <c r="AA50" s="109">
        <f t="shared" si="25"/>
        <v>0</v>
      </c>
      <c r="AB50" s="109">
        <f t="shared" si="25"/>
        <v>0</v>
      </c>
      <c r="AC50" s="109">
        <f t="shared" si="25"/>
        <v>0</v>
      </c>
      <c r="AD50" s="109">
        <f t="shared" si="25"/>
        <v>0</v>
      </c>
      <c r="AE50" s="109">
        <f t="shared" si="25"/>
        <v>0</v>
      </c>
      <c r="AF50" s="109">
        <f t="shared" si="25"/>
        <v>0</v>
      </c>
      <c r="AG50" s="109">
        <f t="shared" si="25"/>
        <v>0</v>
      </c>
      <c r="AH50" s="109">
        <f t="shared" si="25"/>
        <v>0</v>
      </c>
      <c r="AI50" s="109">
        <f t="shared" si="25"/>
        <v>0</v>
      </c>
      <c r="AJ50" s="109">
        <f t="shared" si="25"/>
        <v>0</v>
      </c>
      <c r="AK50" s="109">
        <f t="shared" si="25"/>
        <v>0</v>
      </c>
      <c r="AL50" s="109">
        <f t="shared" si="25"/>
        <v>0</v>
      </c>
      <c r="AM50" s="109">
        <f t="shared" si="25"/>
        <v>0</v>
      </c>
      <c r="AN50" s="109">
        <f t="shared" si="25"/>
        <v>0</v>
      </c>
      <c r="AO50" s="109">
        <f t="shared" si="25"/>
        <v>0</v>
      </c>
      <c r="AP50" s="109">
        <f t="shared" si="25"/>
        <v>0</v>
      </c>
      <c r="AQ50" s="109">
        <f t="shared" si="25"/>
        <v>0</v>
      </c>
      <c r="AR50" s="109">
        <f t="shared" si="25"/>
        <v>0</v>
      </c>
    </row>
    <row r="51" spans="1:44">
      <c r="B51" s="1" t="s">
        <v>174</v>
      </c>
      <c r="C51" s="87" t="s">
        <v>112</v>
      </c>
      <c r="D51" s="23">
        <f>Inputs!$E$131</f>
        <v>2023</v>
      </c>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row>
    <row r="52" spans="1:44">
      <c r="B52" s="1" t="s">
        <v>175</v>
      </c>
      <c r="C52" s="87" t="s">
        <v>172</v>
      </c>
      <c r="D52" s="105">
        <f>Inputs!$E$132</f>
        <v>399</v>
      </c>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row>
    <row r="53" spans="1:44">
      <c r="B53" s="1" t="s">
        <v>175</v>
      </c>
      <c r="C53" s="87" t="s">
        <v>112</v>
      </c>
      <c r="D53" s="23">
        <f>Inputs!$E$133</f>
        <v>2046</v>
      </c>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row>
    <row r="54" spans="1:44">
      <c r="B54" s="1" t="s">
        <v>257</v>
      </c>
      <c r="C54" s="87" t="s">
        <v>295</v>
      </c>
      <c r="D54" s="18">
        <f>(D52-D50)/(D53-D51)</f>
        <v>8.8260869565217384</v>
      </c>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row>
    <row r="55" spans="1:44">
      <c r="B55" s="1" t="s">
        <v>258</v>
      </c>
      <c r="C55" s="87" t="s">
        <v>259</v>
      </c>
      <c r="D55" s="20"/>
      <c r="F55" s="19">
        <f t="shared" ref="F55:AR55" si="26">IF(F7&gt;$D$24,1,0)</f>
        <v>0</v>
      </c>
      <c r="G55" s="19">
        <f t="shared" si="26"/>
        <v>0</v>
      </c>
      <c r="H55" s="19">
        <f t="shared" si="26"/>
        <v>0</v>
      </c>
      <c r="I55" s="19">
        <f t="shared" si="26"/>
        <v>0</v>
      </c>
      <c r="J55" s="19">
        <f t="shared" si="26"/>
        <v>0</v>
      </c>
      <c r="K55" s="19">
        <f t="shared" si="26"/>
        <v>0</v>
      </c>
      <c r="L55" s="19">
        <f t="shared" si="26"/>
        <v>1</v>
      </c>
      <c r="M55" s="19">
        <f t="shared" si="26"/>
        <v>1</v>
      </c>
      <c r="N55" s="19">
        <f t="shared" si="26"/>
        <v>1</v>
      </c>
      <c r="O55" s="19">
        <f t="shared" si="26"/>
        <v>1</v>
      </c>
      <c r="P55" s="19">
        <f t="shared" si="26"/>
        <v>1</v>
      </c>
      <c r="Q55" s="19">
        <f t="shared" si="26"/>
        <v>1</v>
      </c>
      <c r="R55" s="19">
        <f t="shared" si="26"/>
        <v>1</v>
      </c>
      <c r="S55" s="19">
        <f t="shared" si="26"/>
        <v>1</v>
      </c>
      <c r="T55" s="19">
        <f t="shared" si="26"/>
        <v>1</v>
      </c>
      <c r="U55" s="19">
        <f t="shared" si="26"/>
        <v>1</v>
      </c>
      <c r="V55" s="19">
        <f t="shared" si="26"/>
        <v>1</v>
      </c>
      <c r="W55" s="19">
        <f t="shared" si="26"/>
        <v>1</v>
      </c>
      <c r="X55" s="19">
        <f t="shared" si="26"/>
        <v>1</v>
      </c>
      <c r="Y55" s="19">
        <f t="shared" si="26"/>
        <v>1</v>
      </c>
      <c r="Z55" s="19">
        <f t="shared" si="26"/>
        <v>1</v>
      </c>
      <c r="AA55" s="19">
        <f t="shared" si="26"/>
        <v>1</v>
      </c>
      <c r="AB55" s="19">
        <f t="shared" si="26"/>
        <v>1</v>
      </c>
      <c r="AC55" s="19">
        <f t="shared" si="26"/>
        <v>1</v>
      </c>
      <c r="AD55" s="19">
        <f t="shared" si="26"/>
        <v>1</v>
      </c>
      <c r="AE55" s="19">
        <f t="shared" si="26"/>
        <v>1</v>
      </c>
      <c r="AF55" s="19">
        <f t="shared" si="26"/>
        <v>1</v>
      </c>
      <c r="AG55" s="19">
        <f t="shared" si="26"/>
        <v>1</v>
      </c>
      <c r="AH55" s="19">
        <f t="shared" si="26"/>
        <v>1</v>
      </c>
      <c r="AI55" s="19">
        <f t="shared" si="26"/>
        <v>1</v>
      </c>
      <c r="AJ55" s="19">
        <f t="shared" si="26"/>
        <v>1</v>
      </c>
      <c r="AK55" s="19">
        <f t="shared" si="26"/>
        <v>1</v>
      </c>
      <c r="AL55" s="19">
        <f t="shared" si="26"/>
        <v>1</v>
      </c>
      <c r="AM55" s="19">
        <f t="shared" si="26"/>
        <v>1</v>
      </c>
      <c r="AN55" s="19">
        <f t="shared" si="26"/>
        <v>1</v>
      </c>
      <c r="AO55" s="19">
        <f t="shared" si="26"/>
        <v>1</v>
      </c>
      <c r="AP55" s="19">
        <f t="shared" si="26"/>
        <v>1</v>
      </c>
      <c r="AQ55" s="19">
        <f t="shared" si="26"/>
        <v>1</v>
      </c>
      <c r="AR55" s="19">
        <f t="shared" si="26"/>
        <v>1</v>
      </c>
    </row>
    <row r="56" spans="1:44" ht="15">
      <c r="A56" s="2"/>
      <c r="B56" s="1" t="s">
        <v>296</v>
      </c>
      <c r="C56" s="87" t="s">
        <v>295</v>
      </c>
      <c r="D56" s="105">
        <f>SUM(F56:AR56)</f>
        <v>11615.434782608701</v>
      </c>
      <c r="F56" s="86">
        <f t="shared" ref="F56:K56" si="27">E56+F50+F55*$D$54</f>
        <v>0</v>
      </c>
      <c r="G56" s="86">
        <f t="shared" si="27"/>
        <v>0</v>
      </c>
      <c r="H56" s="86">
        <f t="shared" si="27"/>
        <v>0</v>
      </c>
      <c r="I56" s="86">
        <f t="shared" si="27"/>
        <v>0</v>
      </c>
      <c r="J56" s="86">
        <f t="shared" si="27"/>
        <v>0</v>
      </c>
      <c r="K56" s="86">
        <f t="shared" si="27"/>
        <v>196</v>
      </c>
      <c r="L56" s="86">
        <f>K56+L50+L55*$D$54</f>
        <v>204.82608695652175</v>
      </c>
      <c r="M56" s="86">
        <f t="shared" ref="M56:AR56" si="28">L56+M50+M55*$D$54</f>
        <v>213.6521739130435</v>
      </c>
      <c r="N56" s="86">
        <f t="shared" si="28"/>
        <v>222.47826086956525</v>
      </c>
      <c r="O56" s="86">
        <f t="shared" si="28"/>
        <v>231.304347826087</v>
      </c>
      <c r="P56" s="86">
        <f t="shared" si="28"/>
        <v>240.13043478260875</v>
      </c>
      <c r="Q56" s="86">
        <f t="shared" si="28"/>
        <v>248.95652173913049</v>
      </c>
      <c r="R56" s="86">
        <f t="shared" si="28"/>
        <v>257.78260869565224</v>
      </c>
      <c r="S56" s="86">
        <f t="shared" si="28"/>
        <v>266.60869565217399</v>
      </c>
      <c r="T56" s="86">
        <f t="shared" si="28"/>
        <v>275.43478260869574</v>
      </c>
      <c r="U56" s="86">
        <f t="shared" si="28"/>
        <v>284.26086956521749</v>
      </c>
      <c r="V56" s="86">
        <f t="shared" si="28"/>
        <v>293.08695652173924</v>
      </c>
      <c r="W56" s="86">
        <f t="shared" si="28"/>
        <v>301.91304347826099</v>
      </c>
      <c r="X56" s="86">
        <f t="shared" si="28"/>
        <v>310.73913043478274</v>
      </c>
      <c r="Y56" s="86">
        <f t="shared" si="28"/>
        <v>319.56521739130449</v>
      </c>
      <c r="Z56" s="86">
        <f t="shared" si="28"/>
        <v>328.39130434782624</v>
      </c>
      <c r="AA56" s="86">
        <f t="shared" si="28"/>
        <v>337.21739130434798</v>
      </c>
      <c r="AB56" s="86">
        <f t="shared" si="28"/>
        <v>346.04347826086973</v>
      </c>
      <c r="AC56" s="86">
        <f t="shared" si="28"/>
        <v>354.86956521739148</v>
      </c>
      <c r="AD56" s="86">
        <f t="shared" si="28"/>
        <v>363.69565217391323</v>
      </c>
      <c r="AE56" s="86">
        <f t="shared" si="28"/>
        <v>372.52173913043498</v>
      </c>
      <c r="AF56" s="86">
        <f t="shared" si="28"/>
        <v>381.34782608695673</v>
      </c>
      <c r="AG56" s="86">
        <f t="shared" si="28"/>
        <v>390.17391304347848</v>
      </c>
      <c r="AH56" s="86">
        <f t="shared" si="28"/>
        <v>399.00000000000023</v>
      </c>
      <c r="AI56" s="86">
        <f t="shared" si="28"/>
        <v>407.82608695652198</v>
      </c>
      <c r="AJ56" s="86">
        <f t="shared" si="28"/>
        <v>416.65217391304373</v>
      </c>
      <c r="AK56" s="86">
        <f t="shared" si="28"/>
        <v>425.47826086956547</v>
      </c>
      <c r="AL56" s="86">
        <f t="shared" si="28"/>
        <v>434.30434782608722</v>
      </c>
      <c r="AM56" s="86">
        <f t="shared" si="28"/>
        <v>443.13043478260897</v>
      </c>
      <c r="AN56" s="86">
        <f t="shared" si="28"/>
        <v>451.95652173913072</v>
      </c>
      <c r="AO56" s="86">
        <f t="shared" si="28"/>
        <v>460.78260869565247</v>
      </c>
      <c r="AP56" s="86">
        <f t="shared" si="28"/>
        <v>469.60869565217422</v>
      </c>
      <c r="AQ56" s="86">
        <f t="shared" si="28"/>
        <v>478.43478260869597</v>
      </c>
      <c r="AR56" s="86">
        <f t="shared" si="28"/>
        <v>487.26086956521772</v>
      </c>
    </row>
    <row r="57" spans="1:44" ht="15">
      <c r="A57" s="2"/>
      <c r="B57" s="1" t="s">
        <v>283</v>
      </c>
      <c r="C57" s="87" t="s">
        <v>105</v>
      </c>
      <c r="D57" s="105">
        <f>Inputs!$E$32</f>
        <v>365</v>
      </c>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row>
    <row r="58" spans="1:44" ht="15">
      <c r="A58" s="2"/>
      <c r="B58" s="1" t="s">
        <v>296</v>
      </c>
      <c r="C58" s="87" t="s">
        <v>297</v>
      </c>
      <c r="D58" s="105">
        <f>SUM(F58:AR58)</f>
        <v>4239633.6956521757</v>
      </c>
      <c r="F58" s="86">
        <f>F56*$D$30</f>
        <v>0</v>
      </c>
      <c r="G58" s="86">
        <f t="shared" ref="G58:AR58" si="29">G56*$D$30</f>
        <v>0</v>
      </c>
      <c r="H58" s="86">
        <f t="shared" si="29"/>
        <v>0</v>
      </c>
      <c r="I58" s="86">
        <f t="shared" si="29"/>
        <v>0</v>
      </c>
      <c r="J58" s="86">
        <f t="shared" si="29"/>
        <v>0</v>
      </c>
      <c r="K58" s="86">
        <f t="shared" si="29"/>
        <v>71540</v>
      </c>
      <c r="L58" s="86">
        <f t="shared" si="29"/>
        <v>74761.521739130432</v>
      </c>
      <c r="M58" s="86">
        <f t="shared" si="29"/>
        <v>77983.043478260879</v>
      </c>
      <c r="N58" s="86">
        <f t="shared" si="29"/>
        <v>81204.565217391311</v>
      </c>
      <c r="O58" s="86">
        <f t="shared" si="29"/>
        <v>84426.086956521758</v>
      </c>
      <c r="P58" s="86">
        <f t="shared" si="29"/>
        <v>87647.60869565219</v>
      </c>
      <c r="Q58" s="86">
        <f t="shared" si="29"/>
        <v>90869.130434782637</v>
      </c>
      <c r="R58" s="86">
        <f t="shared" si="29"/>
        <v>94090.652173913069</v>
      </c>
      <c r="S58" s="86">
        <f t="shared" si="29"/>
        <v>97312.173913043502</v>
      </c>
      <c r="T58" s="86">
        <f t="shared" si="29"/>
        <v>100533.69565217395</v>
      </c>
      <c r="U58" s="86">
        <f t="shared" si="29"/>
        <v>103755.21739130438</v>
      </c>
      <c r="V58" s="86">
        <f t="shared" si="29"/>
        <v>106976.73913043483</v>
      </c>
      <c r="W58" s="86">
        <f t="shared" si="29"/>
        <v>110198.26086956526</v>
      </c>
      <c r="X58" s="86">
        <f t="shared" si="29"/>
        <v>113419.78260869569</v>
      </c>
      <c r="Y58" s="86">
        <f t="shared" si="29"/>
        <v>116641.30434782614</v>
      </c>
      <c r="Z58" s="86">
        <f t="shared" si="29"/>
        <v>119862.82608695657</v>
      </c>
      <c r="AA58" s="86">
        <f t="shared" si="29"/>
        <v>123084.34782608702</v>
      </c>
      <c r="AB58" s="86">
        <f t="shared" si="29"/>
        <v>126305.86956521745</v>
      </c>
      <c r="AC58" s="86">
        <f t="shared" si="29"/>
        <v>129527.3913043479</v>
      </c>
      <c r="AD58" s="86">
        <f t="shared" si="29"/>
        <v>132748.91304347833</v>
      </c>
      <c r="AE58" s="86">
        <f t="shared" si="29"/>
        <v>135970.43478260876</v>
      </c>
      <c r="AF58" s="86">
        <f t="shared" si="29"/>
        <v>139191.95652173919</v>
      </c>
      <c r="AG58" s="86">
        <f t="shared" si="29"/>
        <v>142413.47826086966</v>
      </c>
      <c r="AH58" s="86">
        <f t="shared" si="29"/>
        <v>145635.00000000009</v>
      </c>
      <c r="AI58" s="86">
        <f t="shared" si="29"/>
        <v>148856.52173913052</v>
      </c>
      <c r="AJ58" s="86">
        <f t="shared" si="29"/>
        <v>152078.04347826095</v>
      </c>
      <c r="AK58" s="86">
        <f t="shared" si="29"/>
        <v>155299.56521739138</v>
      </c>
      <c r="AL58" s="86">
        <f t="shared" si="29"/>
        <v>158521.08695652185</v>
      </c>
      <c r="AM58" s="86">
        <f t="shared" si="29"/>
        <v>161742.60869565228</v>
      </c>
      <c r="AN58" s="86">
        <f t="shared" si="29"/>
        <v>164964.13043478271</v>
      </c>
      <c r="AO58" s="86">
        <f t="shared" si="29"/>
        <v>168185.65217391314</v>
      </c>
      <c r="AP58" s="86">
        <f t="shared" si="29"/>
        <v>171407.1739130436</v>
      </c>
      <c r="AQ58" s="86">
        <f t="shared" si="29"/>
        <v>174628.69565217404</v>
      </c>
      <c r="AR58" s="86">
        <f t="shared" si="29"/>
        <v>177850.21739130447</v>
      </c>
    </row>
    <row r="59" spans="1:44" ht="15">
      <c r="A59" s="2"/>
      <c r="C59" s="87"/>
      <c r="D59" s="105"/>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row>
    <row r="60" spans="1:44" ht="15">
      <c r="A60" s="2"/>
      <c r="B60" s="2" t="s">
        <v>298</v>
      </c>
      <c r="C60" s="87"/>
      <c r="D60" s="73"/>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86"/>
      <c r="AN60" s="86"/>
      <c r="AO60" s="86"/>
      <c r="AP60" s="86"/>
      <c r="AQ60" s="86"/>
      <c r="AR60" s="86"/>
    </row>
    <row r="61" spans="1:44" ht="15">
      <c r="A61" s="2"/>
      <c r="B61" s="1" t="str">
        <f>Inputs!C131</f>
        <v>Fuel Consumption Base Year - Build</v>
      </c>
      <c r="C61" s="87" t="s">
        <v>66</v>
      </c>
      <c r="D61" s="73">
        <f>Inputs!$E$47</f>
        <v>0.03</v>
      </c>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row>
    <row r="62" spans="1:44" ht="15">
      <c r="A62" s="2"/>
      <c r="B62" s="1" t="s">
        <v>299</v>
      </c>
      <c r="C62" s="87" t="s">
        <v>297</v>
      </c>
      <c r="D62" s="105">
        <f>SUM(F62:AR62)</f>
        <v>4112444.6847826107</v>
      </c>
      <c r="F62" s="86">
        <f t="shared" ref="F62:AG62" si="30">F58*(1-$D$61)</f>
        <v>0</v>
      </c>
      <c r="G62" s="86">
        <f t="shared" si="30"/>
        <v>0</v>
      </c>
      <c r="H62" s="86">
        <f t="shared" si="30"/>
        <v>0</v>
      </c>
      <c r="I62" s="86">
        <f t="shared" si="30"/>
        <v>0</v>
      </c>
      <c r="J62" s="86">
        <f t="shared" si="30"/>
        <v>0</v>
      </c>
      <c r="K62" s="86">
        <f t="shared" si="30"/>
        <v>69393.8</v>
      </c>
      <c r="L62" s="86">
        <f t="shared" si="30"/>
        <v>72518.676086956519</v>
      </c>
      <c r="M62" s="86">
        <f t="shared" si="30"/>
        <v>75643.552173913049</v>
      </c>
      <c r="N62" s="86">
        <f t="shared" si="30"/>
        <v>78768.428260869565</v>
      </c>
      <c r="O62" s="86">
        <f t="shared" si="30"/>
        <v>81893.30434782611</v>
      </c>
      <c r="P62" s="86">
        <f t="shared" si="30"/>
        <v>85018.180434782626</v>
      </c>
      <c r="Q62" s="86">
        <f t="shared" si="30"/>
        <v>88143.056521739156</v>
      </c>
      <c r="R62" s="86">
        <f t="shared" si="30"/>
        <v>91267.932608695672</v>
      </c>
      <c r="S62" s="86">
        <f t="shared" si="30"/>
        <v>94392.808695652187</v>
      </c>
      <c r="T62" s="86">
        <f t="shared" si="30"/>
        <v>97517.684782608732</v>
      </c>
      <c r="U62" s="86">
        <f t="shared" si="30"/>
        <v>100642.56086956525</v>
      </c>
      <c r="V62" s="86">
        <f t="shared" si="30"/>
        <v>103767.43695652178</v>
      </c>
      <c r="W62" s="86">
        <f t="shared" si="30"/>
        <v>106892.31304347829</v>
      </c>
      <c r="X62" s="86">
        <f t="shared" si="30"/>
        <v>110017.18913043482</v>
      </c>
      <c r="Y62" s="86">
        <f t="shared" si="30"/>
        <v>113142.06521739135</v>
      </c>
      <c r="Z62" s="86">
        <f t="shared" si="30"/>
        <v>116266.94130434787</v>
      </c>
      <c r="AA62" s="86">
        <f t="shared" si="30"/>
        <v>119391.8173913044</v>
      </c>
      <c r="AB62" s="86">
        <f t="shared" si="30"/>
        <v>122516.69347826092</v>
      </c>
      <c r="AC62" s="86">
        <f t="shared" si="30"/>
        <v>125641.56956521746</v>
      </c>
      <c r="AD62" s="86">
        <f t="shared" si="30"/>
        <v>128766.44565217398</v>
      </c>
      <c r="AE62" s="86">
        <f t="shared" si="30"/>
        <v>131891.32173913051</v>
      </c>
      <c r="AF62" s="86">
        <f t="shared" si="30"/>
        <v>135016.19782608701</v>
      </c>
      <c r="AG62" s="86">
        <f t="shared" si="30"/>
        <v>138141.07391304357</v>
      </c>
      <c r="AH62" s="86">
        <f>AH58*(1-$D$61)</f>
        <v>141265.95000000007</v>
      </c>
      <c r="AI62" s="86">
        <f t="shared" ref="AI62:AR62" si="31">AI58*(1-$D$61)</f>
        <v>144390.8260869566</v>
      </c>
      <c r="AJ62" s="86">
        <f t="shared" si="31"/>
        <v>147515.70217391313</v>
      </c>
      <c r="AK62" s="86">
        <f t="shared" si="31"/>
        <v>150640.57826086963</v>
      </c>
      <c r="AL62" s="86">
        <f t="shared" si="31"/>
        <v>153765.45434782619</v>
      </c>
      <c r="AM62" s="86">
        <f t="shared" si="31"/>
        <v>156890.33043478269</v>
      </c>
      <c r="AN62" s="86">
        <f t="shared" si="31"/>
        <v>160015.20652173922</v>
      </c>
      <c r="AO62" s="86">
        <f t="shared" si="31"/>
        <v>163140.08260869575</v>
      </c>
      <c r="AP62" s="86">
        <f t="shared" si="31"/>
        <v>166264.95869565228</v>
      </c>
      <c r="AQ62" s="86">
        <f t="shared" si="31"/>
        <v>169389.83478260881</v>
      </c>
      <c r="AR62" s="86">
        <f t="shared" si="31"/>
        <v>172514.71086956532</v>
      </c>
    </row>
    <row r="63" spans="1:44" ht="15">
      <c r="A63" s="2"/>
      <c r="B63" s="1" t="s">
        <v>300</v>
      </c>
      <c r="C63" s="87" t="s">
        <v>297</v>
      </c>
      <c r="D63" s="105">
        <f>SUM(F63:AR63)</f>
        <v>127189.01086956527</v>
      </c>
      <c r="F63" s="86">
        <f t="shared" ref="F63:J63" si="32">F58*$D$61</f>
        <v>0</v>
      </c>
      <c r="G63" s="86">
        <f t="shared" si="32"/>
        <v>0</v>
      </c>
      <c r="H63" s="86">
        <f t="shared" si="32"/>
        <v>0</v>
      </c>
      <c r="I63" s="86">
        <f t="shared" si="32"/>
        <v>0</v>
      </c>
      <c r="J63" s="86">
        <f t="shared" si="32"/>
        <v>0</v>
      </c>
      <c r="K63" s="86">
        <f>K58*$D$61</f>
        <v>2146.1999999999998</v>
      </c>
      <c r="L63" s="86">
        <f t="shared" ref="L63:AR63" si="33">L58*$D$61</f>
        <v>2242.8456521739131</v>
      </c>
      <c r="M63" s="86">
        <f t="shared" si="33"/>
        <v>2339.4913043478264</v>
      </c>
      <c r="N63" s="86">
        <f t="shared" si="33"/>
        <v>2436.1369565217392</v>
      </c>
      <c r="O63" s="86">
        <f t="shared" si="33"/>
        <v>2532.7826086956525</v>
      </c>
      <c r="P63" s="86">
        <f t="shared" si="33"/>
        <v>2629.4282608695657</v>
      </c>
      <c r="Q63" s="86">
        <f t="shared" si="33"/>
        <v>2726.073913043479</v>
      </c>
      <c r="R63" s="86">
        <f t="shared" si="33"/>
        <v>2822.7195652173918</v>
      </c>
      <c r="S63" s="86">
        <f t="shared" si="33"/>
        <v>2919.3652173913051</v>
      </c>
      <c r="T63" s="86">
        <f t="shared" si="33"/>
        <v>3016.0108695652184</v>
      </c>
      <c r="U63" s="86">
        <f t="shared" si="33"/>
        <v>3112.6565217391312</v>
      </c>
      <c r="V63" s="86">
        <f t="shared" si="33"/>
        <v>3209.3021739130445</v>
      </c>
      <c r="W63" s="86">
        <f t="shared" si="33"/>
        <v>3305.9478260869578</v>
      </c>
      <c r="X63" s="86">
        <f t="shared" si="33"/>
        <v>3402.5934782608706</v>
      </c>
      <c r="Y63" s="86">
        <f t="shared" si="33"/>
        <v>3499.2391304347839</v>
      </c>
      <c r="Z63" s="86">
        <f t="shared" si="33"/>
        <v>3595.8847826086972</v>
      </c>
      <c r="AA63" s="86">
        <f t="shared" si="33"/>
        <v>3692.5304347826104</v>
      </c>
      <c r="AB63" s="86">
        <f t="shared" si="33"/>
        <v>3789.1760869565232</v>
      </c>
      <c r="AC63" s="86">
        <f t="shared" si="33"/>
        <v>3885.821739130437</v>
      </c>
      <c r="AD63" s="86">
        <f t="shared" si="33"/>
        <v>3982.4673913043498</v>
      </c>
      <c r="AE63" s="86">
        <f t="shared" si="33"/>
        <v>4079.1130434782626</v>
      </c>
      <c r="AF63" s="86">
        <f t="shared" si="33"/>
        <v>4175.7586956521754</v>
      </c>
      <c r="AG63" s="86">
        <f t="shared" si="33"/>
        <v>4272.4043478260892</v>
      </c>
      <c r="AH63" s="86">
        <f t="shared" si="33"/>
        <v>4369.0500000000029</v>
      </c>
      <c r="AI63" s="86">
        <f t="shared" si="33"/>
        <v>4465.6956521739157</v>
      </c>
      <c r="AJ63" s="86">
        <f t="shared" si="33"/>
        <v>4562.3413043478286</v>
      </c>
      <c r="AK63" s="86">
        <f t="shared" si="33"/>
        <v>4658.9869565217414</v>
      </c>
      <c r="AL63" s="86">
        <f t="shared" si="33"/>
        <v>4755.6326086956551</v>
      </c>
      <c r="AM63" s="86">
        <f t="shared" si="33"/>
        <v>4852.2782608695679</v>
      </c>
      <c r="AN63" s="86">
        <f t="shared" si="33"/>
        <v>4948.9239130434808</v>
      </c>
      <c r="AO63" s="86">
        <f t="shared" si="33"/>
        <v>5045.5695652173945</v>
      </c>
      <c r="AP63" s="86">
        <f t="shared" si="33"/>
        <v>5142.2152173913082</v>
      </c>
      <c r="AQ63" s="86">
        <f t="shared" si="33"/>
        <v>5238.860869565221</v>
      </c>
      <c r="AR63" s="86">
        <f t="shared" si="33"/>
        <v>5335.5065217391339</v>
      </c>
    </row>
    <row r="64" spans="1:44" ht="15">
      <c r="A64" s="2"/>
      <c r="C64" s="87"/>
      <c r="D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row>
    <row r="65" spans="1:44" ht="15">
      <c r="B65" s="2" t="s">
        <v>301</v>
      </c>
      <c r="C65" s="87"/>
      <c r="D65" s="105"/>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row>
    <row r="66" spans="1:44">
      <c r="B66" s="1" t="s">
        <v>302</v>
      </c>
      <c r="C66" s="87" t="s">
        <v>303</v>
      </c>
      <c r="D66" s="110"/>
      <c r="F66" s="18">
        <f>IFERROR(HLOOKUP(F$7,'REF Fuel Prices'!$C$117:$AF$130,13),0)</f>
        <v>0</v>
      </c>
      <c r="G66" s="18">
        <f>IFERROR(HLOOKUP(G$7,'REF Fuel Prices'!$C$117:$AF$130,13),0)</f>
        <v>0</v>
      </c>
      <c r="H66" s="18">
        <f>IFERROR(HLOOKUP(H$7,'REF Fuel Prices'!$C$117:$AF$130,13),0)</f>
        <v>0</v>
      </c>
      <c r="I66" s="18">
        <f>IFERROR(HLOOKUP(I$7,'REF Fuel Prices'!$C$117:$AF$130,13),0)</f>
        <v>2.735252</v>
      </c>
      <c r="J66" s="18">
        <f>IFERROR(HLOOKUP(J$7,'REF Fuel Prices'!$C$117:$AF$130,13),0)</f>
        <v>2.6226926148488445</v>
      </c>
      <c r="K66" s="18">
        <f>IFERROR(HLOOKUP(K$7,'REF Fuel Prices'!$C$117:$AF$130,13),0)</f>
        <v>2.3467237457587871</v>
      </c>
      <c r="L66" s="18">
        <f>IFERROR(HLOOKUP(L$7,'REF Fuel Prices'!$C$117:$AF$130,13),0)</f>
        <v>2.3311739240164515</v>
      </c>
      <c r="M66" s="18">
        <f>IFERROR(HLOOKUP(M$7,'REF Fuel Prices'!$C$117:$AF$130,13),0)</f>
        <v>2.3071348637691638</v>
      </c>
      <c r="N66" s="18">
        <f>IFERROR(HLOOKUP(N$7,'REF Fuel Prices'!$C$117:$AF$130,13),0)</f>
        <v>2.3309777478313118</v>
      </c>
      <c r="O66" s="18">
        <f>IFERROR(HLOOKUP(O$7,'REF Fuel Prices'!$C$117:$AF$130,13),0)</f>
        <v>2.3583227726694398</v>
      </c>
      <c r="P66" s="18">
        <f>IFERROR(HLOOKUP(P$7,'REF Fuel Prices'!$C$117:$AF$130,13),0)</f>
        <v>2.3832960890091894</v>
      </c>
      <c r="Q66" s="18">
        <f>IFERROR(HLOOKUP(Q$7,'REF Fuel Prices'!$C$117:$AF$130,13),0)</f>
        <v>2.4006590009648621</v>
      </c>
      <c r="R66" s="18">
        <f>IFERROR(HLOOKUP(R$7,'REF Fuel Prices'!$C$117:$AF$130,13),0)</f>
        <v>2.4594493968247022</v>
      </c>
      <c r="S66" s="18">
        <f>IFERROR(HLOOKUP(S$7,'REF Fuel Prices'!$C$117:$AF$130,13),0)</f>
        <v>2.5376682727241149</v>
      </c>
      <c r="T66" s="18">
        <f>IFERROR(HLOOKUP(T$7,'REF Fuel Prices'!$C$117:$AF$130,13),0)</f>
        <v>2.5628720740885589</v>
      </c>
      <c r="U66" s="18">
        <f>IFERROR(HLOOKUP(U$7,'REF Fuel Prices'!$C$117:$AF$130,13),0)</f>
        <v>2.5835409506350722</v>
      </c>
      <c r="V66" s="18">
        <f>IFERROR(HLOOKUP(V$7,'REF Fuel Prices'!$C$117:$AF$130,13),0)</f>
        <v>2.6030019800865287</v>
      </c>
      <c r="W66" s="18">
        <f>IFERROR(HLOOKUP(W$7,'REF Fuel Prices'!$C$117:$AF$130,13),0)</f>
        <v>2.6122328173541418</v>
      </c>
      <c r="X66" s="18">
        <f>IFERROR(HLOOKUP(X$7,'REF Fuel Prices'!$C$117:$AF$130,13),0)</f>
        <v>2.6303566817768389</v>
      </c>
      <c r="Y66" s="18">
        <f>IFERROR(HLOOKUP(Y$7,'REF Fuel Prices'!$C$117:$AF$130,13),0)</f>
        <v>2.6463929852697685</v>
      </c>
      <c r="Z66" s="18">
        <f>IFERROR(HLOOKUP(Z$7,'REF Fuel Prices'!$C$117:$AF$130,13),0)</f>
        <v>2.674964331193483</v>
      </c>
      <c r="AA66" s="18">
        <f>IFERROR(HLOOKUP(AA$7,'REF Fuel Prices'!$C$117:$AF$130,13),0)</f>
        <v>2.6759284975563253</v>
      </c>
      <c r="AB66" s="18">
        <f>IFERROR(HLOOKUP(AB$7,'REF Fuel Prices'!$C$117:$AF$130,13),0)</f>
        <v>2.6964865301596657</v>
      </c>
      <c r="AC66" s="18">
        <f>IFERROR(HLOOKUP(AC$7,'REF Fuel Prices'!$C$117:$AF$130,13),0)</f>
        <v>2.713176461031785</v>
      </c>
      <c r="AD66" s="18">
        <f>IFERROR(HLOOKUP(AD$7,'REF Fuel Prices'!$C$117:$AF$130,13),0)</f>
        <v>2.7171052630175998</v>
      </c>
      <c r="AE66" s="18">
        <f>IFERROR(HLOOKUP(AE$7,'REF Fuel Prices'!$C$117:$AF$130,13),0)</f>
        <v>2.7436726208258442</v>
      </c>
      <c r="AF66" s="18">
        <f>IFERROR(HLOOKUP(AF$7,'REF Fuel Prices'!$C$117:$AF$130,13),0)</f>
        <v>2.7692168714443204</v>
      </c>
      <c r="AG66" s="18">
        <f>IFERROR(HLOOKUP(AG$7,'REF Fuel Prices'!$C$117:$AF$130,13),0)</f>
        <v>2.7776902751002481</v>
      </c>
      <c r="AH66" s="18">
        <f>IFERROR(HLOOKUP(AH$7,'REF Fuel Prices'!$C$117:$AF$130,13),0)</f>
        <v>2.799528291333091</v>
      </c>
      <c r="AI66" s="18">
        <f>IFERROR(HLOOKUP(AI$7,'REF Fuel Prices'!$C$117:$AF$130,13),0)</f>
        <v>2.8077456982631182</v>
      </c>
      <c r="AJ66" s="18">
        <f>IFERROR(HLOOKUP(AJ$7,'REF Fuel Prices'!$C$117:$AF$130,13),0)</f>
        <v>2.7997957243388432</v>
      </c>
      <c r="AK66" s="18">
        <f>IFERROR(HLOOKUP(AK$7,'REF Fuel Prices'!$C$117:$AF$130,13),0)</f>
        <v>2.8010466774118008</v>
      </c>
      <c r="AL66" s="18">
        <f>IFERROR(HLOOKUP(AL$7,'REF Fuel Prices'!$C$117:$AF$130,13),0)</f>
        <v>2.8000948270426447</v>
      </c>
      <c r="AM66" s="18">
        <f>IFERROR(HLOOKUP(AM$7,'REF Fuel Prices'!$C$117:$AF$130,13),0)</f>
        <v>2.8000948270426447</v>
      </c>
      <c r="AN66" s="18">
        <f>IFERROR(HLOOKUP(AN$7,'REF Fuel Prices'!$C$117:$AF$130,13),0)</f>
        <v>2.8000948270426447</v>
      </c>
      <c r="AO66" s="18">
        <f>IFERROR(HLOOKUP(AO$7,'REF Fuel Prices'!$C$117:$AF$130,13),0)</f>
        <v>2.8000948270426447</v>
      </c>
      <c r="AP66" s="18">
        <f>IFERROR(HLOOKUP(AP$7,'REF Fuel Prices'!$C$117:$AF$130,13),0)</f>
        <v>2.8000948270426447</v>
      </c>
      <c r="AQ66" s="18">
        <f>IFERROR(HLOOKUP(AQ$7,'REF Fuel Prices'!$C$117:$AF$130,13),0)</f>
        <v>2.8000948270426447</v>
      </c>
      <c r="AR66" s="18">
        <f>IFERROR(HLOOKUP(AR$7,'REF Fuel Prices'!$C$117:$AF$130,13),0)</f>
        <v>2.8000948270426447</v>
      </c>
    </row>
    <row r="67" spans="1:44">
      <c r="B67" s="1" t="s">
        <v>304</v>
      </c>
      <c r="C67" s="87" t="s">
        <v>303</v>
      </c>
      <c r="D67" s="110"/>
      <c r="F67" s="18">
        <f>IFERROR(HLOOKUP(F$7,'REF Fuel Prices'!$C$117:$AF$130,14),0)</f>
        <v>0</v>
      </c>
      <c r="G67" s="18">
        <f>IFERROR(HLOOKUP(G$7,'REF Fuel Prices'!$C$117:$AF$130,14),0)</f>
        <v>0</v>
      </c>
      <c r="H67" s="18">
        <f>IFERROR(HLOOKUP(H$7,'REF Fuel Prices'!$C$117:$AF$130,14),0)</f>
        <v>0</v>
      </c>
      <c r="I67" s="18">
        <f>IFERROR(HLOOKUP(I$7,'REF Fuel Prices'!$C$117:$AF$130,14),0)</f>
        <v>2.8226489999999997</v>
      </c>
      <c r="J67" s="18">
        <f>IFERROR(HLOOKUP(J$7,'REF Fuel Prices'!$C$117:$AF$130,14),0)</f>
        <v>2.9506215045594262</v>
      </c>
      <c r="K67" s="18">
        <f>IFERROR(HLOOKUP(K$7,'REF Fuel Prices'!$C$117:$AF$130,14),0)</f>
        <v>2.7543550779283219</v>
      </c>
      <c r="L67" s="18">
        <f>IFERROR(HLOOKUP(L$7,'REF Fuel Prices'!$C$117:$AF$130,14),0)</f>
        <v>2.9795332526380558</v>
      </c>
      <c r="M67" s="18">
        <f>IFERROR(HLOOKUP(M$7,'REF Fuel Prices'!$C$117:$AF$130,14),0)</f>
        <v>2.99128118432301</v>
      </c>
      <c r="N67" s="18">
        <f>IFERROR(HLOOKUP(N$7,'REF Fuel Prices'!$C$117:$AF$130,14),0)</f>
        <v>3.019534262945339</v>
      </c>
      <c r="O67" s="18">
        <f>IFERROR(HLOOKUP(O$7,'REF Fuel Prices'!$C$117:$AF$130,14),0)</f>
        <v>3.0736717708493031</v>
      </c>
      <c r="P67" s="18">
        <f>IFERROR(HLOOKUP(P$7,'REF Fuel Prices'!$C$117:$AF$130,14),0)</f>
        <v>3.1270111932997358</v>
      </c>
      <c r="Q67" s="18">
        <f>IFERROR(HLOOKUP(Q$7,'REF Fuel Prices'!$C$117:$AF$130,14),0)</f>
        <v>3.1594951206543307</v>
      </c>
      <c r="R67" s="18">
        <f>IFERROR(HLOOKUP(R$7,'REF Fuel Prices'!$C$117:$AF$130,14),0)</f>
        <v>3.1485367387496073</v>
      </c>
      <c r="S67" s="18">
        <f>IFERROR(HLOOKUP(S$7,'REF Fuel Prices'!$C$117:$AF$130,14),0)</f>
        <v>3.2417548268566931</v>
      </c>
      <c r="T67" s="18">
        <f>IFERROR(HLOOKUP(T$7,'REF Fuel Prices'!$C$117:$AF$130,14),0)</f>
        <v>3.2771152761133195</v>
      </c>
      <c r="U67" s="18">
        <f>IFERROR(HLOOKUP(U$7,'REF Fuel Prices'!$C$117:$AF$130,14),0)</f>
        <v>3.2984672628727623</v>
      </c>
      <c r="V67" s="18">
        <f>IFERROR(HLOOKUP(V$7,'REF Fuel Prices'!$C$117:$AF$130,14),0)</f>
        <v>3.3309198927585917</v>
      </c>
      <c r="W67" s="18">
        <f>IFERROR(HLOOKUP(W$7,'REF Fuel Prices'!$C$117:$AF$130,14),0)</f>
        <v>3.3524781582894461</v>
      </c>
      <c r="X67" s="18">
        <f>IFERROR(HLOOKUP(X$7,'REF Fuel Prices'!$C$117:$AF$130,14),0)</f>
        <v>3.3903167980274476</v>
      </c>
      <c r="Y67" s="18">
        <f>IFERROR(HLOOKUP(Y$7,'REF Fuel Prices'!$C$117:$AF$130,14),0)</f>
        <v>3.4396515670880587</v>
      </c>
      <c r="Z67" s="18">
        <f>IFERROR(HLOOKUP(Z$7,'REF Fuel Prices'!$C$117:$AF$130,14),0)</f>
        <v>3.4740958540771745</v>
      </c>
      <c r="AA67" s="18">
        <f>IFERROR(HLOOKUP(AA$7,'REF Fuel Prices'!$C$117:$AF$130,14),0)</f>
        <v>3.4940593713131838</v>
      </c>
      <c r="AB67" s="18">
        <f>IFERROR(HLOOKUP(AB$7,'REF Fuel Prices'!$C$117:$AF$130,14),0)</f>
        <v>3.5300343890473957</v>
      </c>
      <c r="AC67" s="18">
        <f>IFERROR(HLOOKUP(AC$7,'REF Fuel Prices'!$C$117:$AF$130,14),0)</f>
        <v>3.5573400079334472</v>
      </c>
      <c r="AD67" s="18">
        <f>IFERROR(HLOOKUP(AD$7,'REF Fuel Prices'!$C$117:$AF$130,14),0)</f>
        <v>3.5652056308792104</v>
      </c>
      <c r="AE67" s="18">
        <f>IFERROR(HLOOKUP(AE$7,'REF Fuel Prices'!$C$117:$AF$130,14),0)</f>
        <v>3.6212167190724798</v>
      </c>
      <c r="AF67" s="18">
        <f>IFERROR(HLOOKUP(AF$7,'REF Fuel Prices'!$C$117:$AF$130,14),0)</f>
        <v>3.680994884415393</v>
      </c>
      <c r="AG67" s="18">
        <f>IFERROR(HLOOKUP(AG$7,'REF Fuel Prices'!$C$117:$AF$130,14),0)</f>
        <v>3.7018930578777303</v>
      </c>
      <c r="AH67" s="18">
        <f>IFERROR(HLOOKUP(AH$7,'REF Fuel Prices'!$C$117:$AF$130,14),0)</f>
        <v>3.7421131504663743</v>
      </c>
      <c r="AI67" s="18">
        <f>IFERROR(HLOOKUP(AI$7,'REF Fuel Prices'!$C$117:$AF$130,14),0)</f>
        <v>3.7596738756684909</v>
      </c>
      <c r="AJ67" s="18">
        <f>IFERROR(HLOOKUP(AJ$7,'REF Fuel Prices'!$C$117:$AF$130,14),0)</f>
        <v>3.7542935562651851</v>
      </c>
      <c r="AK67" s="18">
        <f>IFERROR(HLOOKUP(AK$7,'REF Fuel Prices'!$C$117:$AF$130,14),0)</f>
        <v>3.7622715655760621</v>
      </c>
      <c r="AL67" s="18">
        <f>IFERROR(HLOOKUP(AL$7,'REF Fuel Prices'!$C$117:$AF$130,14),0)</f>
        <v>3.7511040596754945</v>
      </c>
      <c r="AM67" s="18">
        <f>IFERROR(HLOOKUP(AM$7,'REF Fuel Prices'!$C$117:$AF$130,14),0)</f>
        <v>3.7511040596754945</v>
      </c>
      <c r="AN67" s="18">
        <f>IFERROR(HLOOKUP(AN$7,'REF Fuel Prices'!$C$117:$AF$130,14),0)</f>
        <v>3.7511040596754945</v>
      </c>
      <c r="AO67" s="18">
        <f>IFERROR(HLOOKUP(AO$7,'REF Fuel Prices'!$C$117:$AF$130,14),0)</f>
        <v>3.7511040596754945</v>
      </c>
      <c r="AP67" s="18">
        <f>IFERROR(HLOOKUP(AP$7,'REF Fuel Prices'!$C$117:$AF$130,14),0)</f>
        <v>3.7511040596754945</v>
      </c>
      <c r="AQ67" s="18">
        <f>IFERROR(HLOOKUP(AQ$7,'REF Fuel Prices'!$C$117:$AF$130,14),0)</f>
        <v>3.7511040596754945</v>
      </c>
      <c r="AR67" s="18">
        <f>IFERROR(HLOOKUP(AR$7,'REF Fuel Prices'!$C$117:$AF$130,14),0)</f>
        <v>3.7511040596754945</v>
      </c>
    </row>
    <row r="68" spans="1:44" ht="15">
      <c r="A68" s="2"/>
      <c r="B68" s="1" t="s">
        <v>305</v>
      </c>
      <c r="C68" s="22" t="s">
        <v>288</v>
      </c>
      <c r="D68" s="19">
        <f>SUM(F68:AR68)</f>
        <v>11014064.986587973</v>
      </c>
      <c r="F68" s="19">
        <f t="shared" ref="F68:J68" si="34">F62*F66</f>
        <v>0</v>
      </c>
      <c r="G68" s="19">
        <f t="shared" si="34"/>
        <v>0</v>
      </c>
      <c r="H68" s="19">
        <f t="shared" si="34"/>
        <v>0</v>
      </c>
      <c r="I68" s="19">
        <f t="shared" si="34"/>
        <v>0</v>
      </c>
      <c r="J68" s="19">
        <f t="shared" si="34"/>
        <v>0</v>
      </c>
      <c r="K68" s="19">
        <f>K62*K66</f>
        <v>162848.07826843613</v>
      </c>
      <c r="L68" s="19">
        <f t="shared" ref="L68:AR68" si="35">L62*L66</f>
        <v>169053.64669810844</v>
      </c>
      <c r="M68" s="19">
        <f t="shared" si="35"/>
        <v>174519.8764397765</v>
      </c>
      <c r="N68" s="19">
        <f t="shared" si="35"/>
        <v>183607.453507734</v>
      </c>
      <c r="O68" s="19">
        <f t="shared" si="35"/>
        <v>193130.84457262757</v>
      </c>
      <c r="P68" s="19">
        <f t="shared" si="35"/>
        <v>202623.49692489501</v>
      </c>
      <c r="Q68" s="19">
        <f t="shared" si="35"/>
        <v>211601.42201146769</v>
      </c>
      <c r="R68" s="19">
        <f t="shared" si="35"/>
        <v>224468.86180389413</v>
      </c>
      <c r="S68" s="19">
        <f t="shared" si="35"/>
        <v>239537.63580027351</v>
      </c>
      <c r="T68" s="19">
        <f t="shared" si="35"/>
        <v>249925.35105911875</v>
      </c>
      <c r="U68" s="19">
        <f t="shared" si="35"/>
        <v>260014.17738330472</v>
      </c>
      <c r="V68" s="19">
        <f t="shared" si="35"/>
        <v>270106.84386633022</v>
      </c>
      <c r="W68" s="19">
        <f t="shared" si="35"/>
        <v>279227.6080550662</v>
      </c>
      <c r="X68" s="19">
        <f t="shared" si="35"/>
        <v>289384.44853954547</v>
      </c>
      <c r="Y68" s="19">
        <f t="shared" si="35"/>
        <v>299418.36773023917</v>
      </c>
      <c r="Z68" s="19">
        <f t="shared" si="35"/>
        <v>311009.92088609684</v>
      </c>
      <c r="AA68" s="19">
        <f t="shared" si="35"/>
        <v>319483.96653243236</v>
      </c>
      <c r="AB68" s="19">
        <f t="shared" si="35"/>
        <v>330364.61368383112</v>
      </c>
      <c r="AC68" s="19">
        <f t="shared" si="35"/>
        <v>340887.74907143554</v>
      </c>
      <c r="AD68" s="19">
        <f t="shared" si="35"/>
        <v>349871.98718159163</v>
      </c>
      <c r="AE68" s="19">
        <f t="shared" si="35"/>
        <v>361866.60838018486</v>
      </c>
      <c r="AF68" s="19">
        <f t="shared" si="35"/>
        <v>373889.13293826411</v>
      </c>
      <c r="AG68" s="19">
        <f t="shared" si="35"/>
        <v>383713.11760016571</v>
      </c>
      <c r="AH68" s="19">
        <f t="shared" si="35"/>
        <v>395478.02362704609</v>
      </c>
      <c r="AI68" s="19">
        <f t="shared" si="35"/>
        <v>405412.72081431042</v>
      </c>
      <c r="AJ68" s="19">
        <f t="shared" si="35"/>
        <v>413013.83221936418</v>
      </c>
      <c r="AK68" s="19">
        <f t="shared" si="35"/>
        <v>421951.29122100124</v>
      </c>
      <c r="AL68" s="19">
        <f t="shared" si="35"/>
        <v>430557.85329721007</v>
      </c>
      <c r="AM68" s="19">
        <f t="shared" si="35"/>
        <v>439307.80266344623</v>
      </c>
      <c r="AN68" s="19">
        <f t="shared" si="35"/>
        <v>448057.75202968245</v>
      </c>
      <c r="AO68" s="19">
        <f t="shared" si="35"/>
        <v>456807.70139591867</v>
      </c>
      <c r="AP68" s="19">
        <f t="shared" si="35"/>
        <v>465557.65076215495</v>
      </c>
      <c r="AQ68" s="19">
        <f t="shared" si="35"/>
        <v>474307.60012839118</v>
      </c>
      <c r="AR68" s="19">
        <f t="shared" si="35"/>
        <v>483057.54949462734</v>
      </c>
    </row>
    <row r="69" spans="1:44">
      <c r="B69" s="1" t="s">
        <v>306</v>
      </c>
      <c r="C69" s="22" t="s">
        <v>288</v>
      </c>
      <c r="D69" s="19">
        <f>SUM(F69:AR69)</f>
        <v>448446.5643573213</v>
      </c>
      <c r="F69" s="19">
        <f t="shared" ref="F69:J69" si="36">F63*F67</f>
        <v>0</v>
      </c>
      <c r="G69" s="19">
        <f t="shared" si="36"/>
        <v>0</v>
      </c>
      <c r="H69" s="19">
        <f t="shared" si="36"/>
        <v>0</v>
      </c>
      <c r="I69" s="19">
        <f t="shared" si="36"/>
        <v>0</v>
      </c>
      <c r="J69" s="19">
        <f t="shared" si="36"/>
        <v>0</v>
      </c>
      <c r="K69" s="19">
        <f>K63*K67</f>
        <v>5911.3968682497643</v>
      </c>
      <c r="L69" s="19">
        <f t="shared" ref="L69:AR69" si="37">L63*L67</f>
        <v>6682.6332011868608</v>
      </c>
      <c r="M69" s="19">
        <f t="shared" si="37"/>
        <v>6998.0763195829495</v>
      </c>
      <c r="N69" s="19">
        <f t="shared" si="37"/>
        <v>7355.9990094447712</v>
      </c>
      <c r="O69" s="19">
        <f t="shared" si="37"/>
        <v>7784.9424060458832</v>
      </c>
      <c r="P69" s="19">
        <f t="shared" si="37"/>
        <v>8222.2516037177902</v>
      </c>
      <c r="Q69" s="19">
        <f t="shared" si="37"/>
        <v>8613.0172268039296</v>
      </c>
      <c r="R69" s="19">
        <f t="shared" si="37"/>
        <v>8887.4362542742765</v>
      </c>
      <c r="S69" s="19">
        <f t="shared" si="37"/>
        <v>9463.8662848358035</v>
      </c>
      <c r="T69" s="19">
        <f t="shared" si="37"/>
        <v>9883.8152935759936</v>
      </c>
      <c r="U69" s="19">
        <f t="shared" si="37"/>
        <v>10266.995637523925</v>
      </c>
      <c r="V69" s="19">
        <f t="shared" si="37"/>
        <v>10689.928452960354</v>
      </c>
      <c r="W69" s="19">
        <f t="shared" si="37"/>
        <v>11083.117879401003</v>
      </c>
      <c r="X69" s="19">
        <f t="shared" si="37"/>
        <v>11535.86982620647</v>
      </c>
      <c r="Y69" s="19">
        <f t="shared" si="37"/>
        <v>12036.16335861586</v>
      </c>
      <c r="Z69" s="19">
        <f t="shared" si="37"/>
        <v>12492.448415000077</v>
      </c>
      <c r="AA69" s="19">
        <f t="shared" si="37"/>
        <v>12901.920569511325</v>
      </c>
      <c r="AB69" s="19">
        <f t="shared" si="37"/>
        <v>13375.921893112572</v>
      </c>
      <c r="AC69" s="19">
        <f t="shared" si="37"/>
        <v>13823.18913630623</v>
      </c>
      <c r="AD69" s="19">
        <f t="shared" si="37"/>
        <v>14198.315168271107</v>
      </c>
      <c r="AE69" s="19">
        <f t="shared" si="37"/>
        <v>14771.352352030111</v>
      </c>
      <c r="AF69" s="19">
        <f t="shared" si="37"/>
        <v>15370.946397248752</v>
      </c>
      <c r="AG69" s="19">
        <f t="shared" si="37"/>
        <v>15815.983995664032</v>
      </c>
      <c r="AH69" s="19">
        <f t="shared" si="37"/>
        <v>16349.479460045124</v>
      </c>
      <c r="AI69" s="19">
        <f t="shared" si="37"/>
        <v>16789.559280164634</v>
      </c>
      <c r="AJ69" s="19">
        <f t="shared" si="37"/>
        <v>17128.368560395553</v>
      </c>
      <c r="AK69" s="19">
        <f t="shared" si="37"/>
        <v>17528.374150911506</v>
      </c>
      <c r="AL69" s="19">
        <f t="shared" si="37"/>
        <v>17838.872784803436</v>
      </c>
      <c r="AM69" s="19">
        <f t="shared" si="37"/>
        <v>18201.400683022985</v>
      </c>
      <c r="AN69" s="19">
        <f t="shared" si="37"/>
        <v>18563.928581242533</v>
      </c>
      <c r="AO69" s="19">
        <f t="shared" si="37"/>
        <v>18926.456479462089</v>
      </c>
      <c r="AP69" s="19">
        <f t="shared" si="37"/>
        <v>19288.984377681641</v>
      </c>
      <c r="AQ69" s="19">
        <f t="shared" si="37"/>
        <v>19651.512275901194</v>
      </c>
      <c r="AR69" s="19">
        <f t="shared" si="37"/>
        <v>20014.040174120742</v>
      </c>
    </row>
    <row r="70" spans="1:44">
      <c r="C70" s="22"/>
      <c r="D70" s="86"/>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row>
    <row r="71" spans="1:44" ht="15">
      <c r="A71" s="2" t="s">
        <v>276</v>
      </c>
      <c r="C71" s="87"/>
      <c r="D71" s="86"/>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row>
    <row r="72" spans="1:44">
      <c r="B72" s="1" t="s">
        <v>277</v>
      </c>
      <c r="C72" s="22" t="s">
        <v>267</v>
      </c>
      <c r="D72" s="86">
        <f>SUM(F72:AR72)</f>
        <v>11462511.550945293</v>
      </c>
      <c r="F72" s="19">
        <f t="shared" ref="F72:J72" si="38">F68+F69</f>
        <v>0</v>
      </c>
      <c r="G72" s="19">
        <f t="shared" si="38"/>
        <v>0</v>
      </c>
      <c r="H72" s="19">
        <f t="shared" si="38"/>
        <v>0</v>
      </c>
      <c r="I72" s="19">
        <f t="shared" si="38"/>
        <v>0</v>
      </c>
      <c r="J72" s="19">
        <f t="shared" si="38"/>
        <v>0</v>
      </c>
      <c r="K72" s="19">
        <f>K68+K69</f>
        <v>168759.47513668588</v>
      </c>
      <c r="L72" s="19">
        <f t="shared" ref="L72:AR72" si="39">L68+L69</f>
        <v>175736.2798992953</v>
      </c>
      <c r="M72" s="19">
        <f t="shared" si="39"/>
        <v>181517.95275935944</v>
      </c>
      <c r="N72" s="19">
        <f t="shared" si="39"/>
        <v>190963.45251717878</v>
      </c>
      <c r="O72" s="19">
        <f t="shared" si="39"/>
        <v>200915.78697867345</v>
      </c>
      <c r="P72" s="19">
        <f t="shared" si="39"/>
        <v>210845.74852861281</v>
      </c>
      <c r="Q72" s="19">
        <f t="shared" si="39"/>
        <v>220214.43923827162</v>
      </c>
      <c r="R72" s="19">
        <f t="shared" si="39"/>
        <v>233356.29805816841</v>
      </c>
      <c r="S72" s="19">
        <f t="shared" si="39"/>
        <v>249001.5020851093</v>
      </c>
      <c r="T72" s="19">
        <f t="shared" si="39"/>
        <v>259809.16635269474</v>
      </c>
      <c r="U72" s="19">
        <f t="shared" si="39"/>
        <v>270281.17302082863</v>
      </c>
      <c r="V72" s="19">
        <f t="shared" si="39"/>
        <v>280796.77231929055</v>
      </c>
      <c r="W72" s="19">
        <f t="shared" si="39"/>
        <v>290310.72593446722</v>
      </c>
      <c r="X72" s="19">
        <f t="shared" si="39"/>
        <v>300920.31836575194</v>
      </c>
      <c r="Y72" s="19">
        <f t="shared" si="39"/>
        <v>311454.53108885506</v>
      </c>
      <c r="Z72" s="19">
        <f t="shared" si="39"/>
        <v>323502.36930109689</v>
      </c>
      <c r="AA72" s="19">
        <f t="shared" si="39"/>
        <v>332385.88710194366</v>
      </c>
      <c r="AB72" s="19">
        <f t="shared" si="39"/>
        <v>343740.53557694372</v>
      </c>
      <c r="AC72" s="19">
        <f t="shared" si="39"/>
        <v>354710.93820774177</v>
      </c>
      <c r="AD72" s="19">
        <f t="shared" si="39"/>
        <v>364070.30234986276</v>
      </c>
      <c r="AE72" s="19">
        <f t="shared" si="39"/>
        <v>376637.96073221497</v>
      </c>
      <c r="AF72" s="19">
        <f t="shared" si="39"/>
        <v>389260.07933551288</v>
      </c>
      <c r="AG72" s="19">
        <f t="shared" si="39"/>
        <v>399529.10159582976</v>
      </c>
      <c r="AH72" s="19">
        <f t="shared" si="39"/>
        <v>411827.5030870912</v>
      </c>
      <c r="AI72" s="19">
        <f t="shared" si="39"/>
        <v>422202.28009447508</v>
      </c>
      <c r="AJ72" s="19">
        <f t="shared" si="39"/>
        <v>430142.20077975973</v>
      </c>
      <c r="AK72" s="19">
        <f t="shared" si="39"/>
        <v>439479.66537191276</v>
      </c>
      <c r="AL72" s="19">
        <f t="shared" si="39"/>
        <v>448396.72608201351</v>
      </c>
      <c r="AM72" s="19">
        <f t="shared" si="39"/>
        <v>457509.20334646921</v>
      </c>
      <c r="AN72" s="19">
        <f t="shared" si="39"/>
        <v>466621.68061092496</v>
      </c>
      <c r="AO72" s="19">
        <f t="shared" si="39"/>
        <v>475734.15787538077</v>
      </c>
      <c r="AP72" s="19">
        <f t="shared" si="39"/>
        <v>484846.63513983658</v>
      </c>
      <c r="AQ72" s="19">
        <f t="shared" si="39"/>
        <v>493959.11240429239</v>
      </c>
      <c r="AR72" s="19">
        <f t="shared" si="39"/>
        <v>503071.58966874809</v>
      </c>
    </row>
    <row r="73" spans="1:44">
      <c r="C73" s="12"/>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row>
    <row r="74" spans="1:44" s="9" customFormat="1">
      <c r="A74" s="8" t="s">
        <v>253</v>
      </c>
      <c r="B74" s="8"/>
      <c r="C74" s="13"/>
    </row>
    <row r="75" spans="1:44" ht="15">
      <c r="A75" s="2" t="s">
        <v>254</v>
      </c>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row>
    <row r="76" spans="1:44">
      <c r="B76" s="1" t="s">
        <v>221</v>
      </c>
      <c r="C76" s="87" t="s">
        <v>80</v>
      </c>
      <c r="D76" s="86">
        <f>SUM(F76:AR76)</f>
        <v>2133963.314945254</v>
      </c>
      <c r="F76" s="19">
        <f t="shared" ref="F76:AR76" si="40">(F$45-F$72)*F$11*F15</f>
        <v>0</v>
      </c>
      <c r="G76" s="19">
        <f t="shared" si="40"/>
        <v>0</v>
      </c>
      <c r="H76" s="19">
        <f t="shared" si="40"/>
        <v>0</v>
      </c>
      <c r="I76" s="19">
        <f t="shared" si="40"/>
        <v>0</v>
      </c>
      <c r="J76" s="19">
        <f t="shared" si="40"/>
        <v>0</v>
      </c>
      <c r="K76" s="19">
        <f t="shared" si="40"/>
        <v>0</v>
      </c>
      <c r="L76" s="19">
        <f t="shared" si="40"/>
        <v>0</v>
      </c>
      <c r="M76" s="19">
        <f t="shared" si="40"/>
        <v>0</v>
      </c>
      <c r="N76" s="19">
        <f t="shared" si="40"/>
        <v>0</v>
      </c>
      <c r="O76" s="19">
        <f t="shared" si="40"/>
        <v>48869.36623127872</v>
      </c>
      <c r="P76" s="19">
        <f t="shared" si="40"/>
        <v>54286.194895471068</v>
      </c>
      <c r="Q76" s="19">
        <f t="shared" si="40"/>
        <v>59610.964166839025</v>
      </c>
      <c r="R76" s="19">
        <f t="shared" si="40"/>
        <v>66043.492687064543</v>
      </c>
      <c r="S76" s="19">
        <f t="shared" si="40"/>
        <v>73336.058833285468</v>
      </c>
      <c r="T76" s="19">
        <f t="shared" si="40"/>
        <v>79316.642103569</v>
      </c>
      <c r="U76" s="19">
        <f t="shared" si="40"/>
        <v>85243.159799471905</v>
      </c>
      <c r="V76" s="19">
        <f t="shared" si="40"/>
        <v>91224.585577695398</v>
      </c>
      <c r="W76" s="19">
        <f t="shared" si="40"/>
        <v>96909.600045520288</v>
      </c>
      <c r="X76" s="19">
        <f t="shared" si="40"/>
        <v>102987.4211169199</v>
      </c>
      <c r="Y76" s="19">
        <f t="shared" si="40"/>
        <v>109072.64803030057</v>
      </c>
      <c r="Z76" s="19">
        <f t="shared" si="40"/>
        <v>115729.29986118904</v>
      </c>
      <c r="AA76" s="19">
        <f t="shared" si="40"/>
        <v>121280.56478835695</v>
      </c>
      <c r="AB76" s="19">
        <f t="shared" si="40"/>
        <v>127752.79610963631</v>
      </c>
      <c r="AC76" s="19">
        <f t="shared" si="40"/>
        <v>134113.93718562677</v>
      </c>
      <c r="AD76" s="19">
        <f t="shared" si="40"/>
        <v>139883.07851194899</v>
      </c>
      <c r="AE76" s="19">
        <f t="shared" si="40"/>
        <v>146909.9048514305</v>
      </c>
      <c r="AF76" s="19">
        <f t="shared" si="40"/>
        <v>153999.82616511517</v>
      </c>
      <c r="AG76" s="19">
        <f t="shared" si="40"/>
        <v>160185.61483639287</v>
      </c>
      <c r="AH76" s="19">
        <f t="shared" si="40"/>
        <v>167208.15914814168</v>
      </c>
      <c r="AI76" s="19">
        <f t="shared" si="40"/>
        <v>0</v>
      </c>
      <c r="AJ76" s="19">
        <f t="shared" si="40"/>
        <v>0</v>
      </c>
      <c r="AK76" s="19">
        <f t="shared" si="40"/>
        <v>0</v>
      </c>
      <c r="AL76" s="19">
        <f t="shared" si="40"/>
        <v>0</v>
      </c>
      <c r="AM76" s="19">
        <f t="shared" si="40"/>
        <v>0</v>
      </c>
      <c r="AN76" s="19">
        <f t="shared" si="40"/>
        <v>0</v>
      </c>
      <c r="AO76" s="19">
        <f t="shared" si="40"/>
        <v>0</v>
      </c>
      <c r="AP76" s="19">
        <f t="shared" si="40"/>
        <v>0</v>
      </c>
      <c r="AQ76" s="19">
        <f t="shared" si="40"/>
        <v>0</v>
      </c>
      <c r="AR76" s="19">
        <f t="shared" si="40"/>
        <v>0</v>
      </c>
    </row>
    <row r="77" spans="1:44">
      <c r="B77" s="1" t="s">
        <v>222</v>
      </c>
      <c r="C77" s="87" t="s">
        <v>80</v>
      </c>
      <c r="D77" s="86">
        <f>SUM(F77:AR77)</f>
        <v>1291585.2472634795</v>
      </c>
      <c r="F77" s="19">
        <f t="shared" ref="F77:AR77" si="41">(F$45-F$72)*F$11*F16</f>
        <v>0</v>
      </c>
      <c r="G77" s="19">
        <f t="shared" si="41"/>
        <v>0</v>
      </c>
      <c r="H77" s="19">
        <f t="shared" si="41"/>
        <v>0</v>
      </c>
      <c r="I77" s="19">
        <f t="shared" si="41"/>
        <v>0</v>
      </c>
      <c r="J77" s="19">
        <f t="shared" si="41"/>
        <v>0</v>
      </c>
      <c r="K77" s="19">
        <f t="shared" si="41"/>
        <v>0</v>
      </c>
      <c r="L77" s="19">
        <f t="shared" si="41"/>
        <v>0</v>
      </c>
      <c r="M77" s="19">
        <f t="shared" si="41"/>
        <v>0</v>
      </c>
      <c r="N77" s="19">
        <f t="shared" si="41"/>
        <v>0</v>
      </c>
      <c r="O77" s="19">
        <f t="shared" si="41"/>
        <v>40927.324852803744</v>
      </c>
      <c r="P77" s="19">
        <f t="shared" si="41"/>
        <v>44139.644252638427</v>
      </c>
      <c r="Q77" s="19">
        <f t="shared" si="41"/>
        <v>47057.445579659856</v>
      </c>
      <c r="R77" s="19">
        <f t="shared" si="41"/>
        <v>50616.837857780229</v>
      </c>
      <c r="S77" s="19">
        <f t="shared" si="41"/>
        <v>54568.915120355945</v>
      </c>
      <c r="T77" s="19">
        <f t="shared" si="41"/>
        <v>57300.02984398746</v>
      </c>
      <c r="U77" s="19">
        <f t="shared" si="41"/>
        <v>59787.837207424076</v>
      </c>
      <c r="V77" s="19">
        <f t="shared" si="41"/>
        <v>62119.503789454015</v>
      </c>
      <c r="W77" s="19">
        <f t="shared" si="41"/>
        <v>64068.662144854337</v>
      </c>
      <c r="X77" s="19">
        <f t="shared" si="41"/>
        <v>66103.706675472044</v>
      </c>
      <c r="Y77" s="19">
        <f t="shared" si="41"/>
        <v>67970.468225675242</v>
      </c>
      <c r="Z77" s="19">
        <f t="shared" si="41"/>
        <v>70018.129682120358</v>
      </c>
      <c r="AA77" s="19">
        <f t="shared" si="41"/>
        <v>71239.549765338088</v>
      </c>
      <c r="AB77" s="19">
        <f t="shared" si="41"/>
        <v>72855.634507478433</v>
      </c>
      <c r="AC77" s="19">
        <f t="shared" si="41"/>
        <v>74255.635318150657</v>
      </c>
      <c r="AD77" s="19">
        <f t="shared" si="41"/>
        <v>75194.047566028807</v>
      </c>
      <c r="AE77" s="19">
        <f t="shared" si="41"/>
        <v>76671.177647335746</v>
      </c>
      <c r="AF77" s="19">
        <f t="shared" si="41"/>
        <v>78030.44117747125</v>
      </c>
      <c r="AG77" s="19">
        <f t="shared" si="41"/>
        <v>78800.7080143083</v>
      </c>
      <c r="AH77" s="19">
        <f t="shared" si="41"/>
        <v>79859.54803514239</v>
      </c>
      <c r="AI77" s="19">
        <f t="shared" si="41"/>
        <v>0</v>
      </c>
      <c r="AJ77" s="19">
        <f t="shared" si="41"/>
        <v>0</v>
      </c>
      <c r="AK77" s="19">
        <f t="shared" si="41"/>
        <v>0</v>
      </c>
      <c r="AL77" s="19">
        <f t="shared" si="41"/>
        <v>0</v>
      </c>
      <c r="AM77" s="19">
        <f t="shared" si="41"/>
        <v>0</v>
      </c>
      <c r="AN77" s="19">
        <f t="shared" si="41"/>
        <v>0</v>
      </c>
      <c r="AO77" s="19">
        <f t="shared" si="41"/>
        <v>0</v>
      </c>
      <c r="AP77" s="19">
        <f t="shared" si="41"/>
        <v>0</v>
      </c>
      <c r="AQ77" s="19">
        <f t="shared" si="41"/>
        <v>0</v>
      </c>
      <c r="AR77" s="19">
        <f t="shared" si="41"/>
        <v>0</v>
      </c>
    </row>
    <row r="78" spans="1:44">
      <c r="B78" s="1" t="s">
        <v>223</v>
      </c>
      <c r="C78" s="87" t="s">
        <v>80</v>
      </c>
      <c r="D78" s="86">
        <f>SUM(F78:AR78)</f>
        <v>703830.83269149961</v>
      </c>
      <c r="F78" s="19">
        <f t="shared" ref="F78:AR78" si="42">(F$45-F$72)*F$11*F17</f>
        <v>0</v>
      </c>
      <c r="G78" s="19">
        <f t="shared" si="42"/>
        <v>0</v>
      </c>
      <c r="H78" s="19">
        <f t="shared" si="42"/>
        <v>0</v>
      </c>
      <c r="I78" s="19">
        <f t="shared" si="42"/>
        <v>0</v>
      </c>
      <c r="J78" s="19">
        <f t="shared" si="42"/>
        <v>0</v>
      </c>
      <c r="K78" s="19">
        <f t="shared" si="42"/>
        <v>0</v>
      </c>
      <c r="L78" s="19">
        <f t="shared" si="42"/>
        <v>0</v>
      </c>
      <c r="M78" s="19">
        <f t="shared" si="42"/>
        <v>0</v>
      </c>
      <c r="N78" s="19">
        <f t="shared" si="42"/>
        <v>0</v>
      </c>
      <c r="O78" s="19">
        <f t="shared" si="42"/>
        <v>32563.722171053843</v>
      </c>
      <c r="P78" s="19">
        <f t="shared" si="42"/>
        <v>33806.713859051211</v>
      </c>
      <c r="Q78" s="19">
        <f t="shared" si="42"/>
        <v>34694.123877000573</v>
      </c>
      <c r="R78" s="19">
        <f t="shared" si="42"/>
        <v>35923.284150603831</v>
      </c>
      <c r="S78" s="19">
        <f t="shared" si="42"/>
        <v>37280.333595850687</v>
      </c>
      <c r="T78" s="19">
        <f t="shared" si="42"/>
        <v>37682.765297057987</v>
      </c>
      <c r="U78" s="19">
        <f t="shared" si="42"/>
        <v>37848.982394434606</v>
      </c>
      <c r="V78" s="19">
        <f t="shared" si="42"/>
        <v>37854.959788109023</v>
      </c>
      <c r="W78" s="19">
        <f t="shared" si="42"/>
        <v>37583.213717746105</v>
      </c>
      <c r="X78" s="19">
        <f t="shared" si="42"/>
        <v>37327.380857059114</v>
      </c>
      <c r="Y78" s="19">
        <f t="shared" si="42"/>
        <v>36946.679561153745</v>
      </c>
      <c r="Z78" s="19">
        <f t="shared" si="42"/>
        <v>36636.932562394148</v>
      </c>
      <c r="AA78" s="19">
        <f t="shared" si="42"/>
        <v>35882.542871978614</v>
      </c>
      <c r="AB78" s="19">
        <f t="shared" si="42"/>
        <v>35324.712689749198</v>
      </c>
      <c r="AC78" s="19">
        <f t="shared" si="42"/>
        <v>34657.589910951494</v>
      </c>
      <c r="AD78" s="19">
        <f t="shared" si="42"/>
        <v>33783.594074385008</v>
      </c>
      <c r="AE78" s="19">
        <f t="shared" si="42"/>
        <v>33159.499620217488</v>
      </c>
      <c r="AF78" s="19">
        <f t="shared" si="42"/>
        <v>32485.783365235493</v>
      </c>
      <c r="AG78" s="19">
        <f t="shared" si="42"/>
        <v>31580.052529414621</v>
      </c>
      <c r="AH78" s="19">
        <f t="shared" si="42"/>
        <v>30807.965798052843</v>
      </c>
      <c r="AI78" s="19">
        <f t="shared" si="42"/>
        <v>0</v>
      </c>
      <c r="AJ78" s="19">
        <f t="shared" si="42"/>
        <v>0</v>
      </c>
      <c r="AK78" s="19">
        <f t="shared" si="42"/>
        <v>0</v>
      </c>
      <c r="AL78" s="19">
        <f t="shared" si="42"/>
        <v>0</v>
      </c>
      <c r="AM78" s="19">
        <f t="shared" si="42"/>
        <v>0</v>
      </c>
      <c r="AN78" s="19">
        <f t="shared" si="42"/>
        <v>0</v>
      </c>
      <c r="AO78" s="19">
        <f t="shared" si="42"/>
        <v>0</v>
      </c>
      <c r="AP78" s="19">
        <f t="shared" si="42"/>
        <v>0</v>
      </c>
      <c r="AQ78" s="19">
        <f t="shared" si="42"/>
        <v>0</v>
      </c>
      <c r="AR78" s="19">
        <f t="shared" si="42"/>
        <v>0</v>
      </c>
    </row>
    <row r="79" spans="1:44">
      <c r="C79" s="87"/>
      <c r="D79" s="86"/>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1A728-3FAD-4404-8B99-E8A684C40B66}">
  <sheetPr>
    <tabColor theme="9"/>
  </sheetPr>
  <dimension ref="A1:AS61"/>
  <sheetViews>
    <sheetView workbookViewId="0">
      <pane xSplit="4" ySplit="11" topLeftCell="E12" activePane="bottomRight" state="frozen"/>
      <selection pane="bottomRight" activeCell="A2" sqref="A2"/>
      <selection pane="bottomLeft" activeCell="A12" sqref="A12"/>
      <selection pane="topRight" activeCell="E1" sqref="E1"/>
    </sheetView>
  </sheetViews>
  <sheetFormatPr defaultColWidth="0" defaultRowHeight="14.25"/>
  <cols>
    <col min="1" max="1" width="10.5703125" style="1" customWidth="1"/>
    <col min="2" max="2" width="32.5703125" style="1" bestFit="1" customWidth="1"/>
    <col min="3" max="3" width="22.28515625" style="1" bestFit="1" customWidth="1"/>
    <col min="4" max="4" width="15.140625" style="1" bestFit="1" customWidth="1"/>
    <col min="5" max="5" width="1.5703125" style="1" customWidth="1"/>
    <col min="6" max="44" width="14.42578125" style="1" customWidth="1"/>
    <col min="45" max="45" width="9.140625" style="1" customWidth="1"/>
    <col min="46" max="16384" width="9.140625" style="1" hidden="1"/>
  </cols>
  <sheetData>
    <row r="1" spans="1:44" ht="19.5">
      <c r="A1" s="7" t="str">
        <f>Summary!$A$1</f>
        <v>Multimodal Improvements to Safely Connect Tulsa at US-75 and 81st Street Interchange</v>
      </c>
    </row>
    <row r="2" spans="1:44" ht="19.5">
      <c r="A2" s="7" t="s">
        <v>307</v>
      </c>
      <c r="C2" s="12"/>
    </row>
    <row r="3" spans="1:44">
      <c r="A3" s="55">
        <f ca="1">Summary!A3</f>
        <v>44984</v>
      </c>
      <c r="C3" s="12"/>
    </row>
    <row r="4" spans="1:44">
      <c r="A4" s="56" t="str">
        <f>Summary!A4</f>
        <v>All $ values 2021, unless otherwise noted</v>
      </c>
      <c r="C4" s="12"/>
    </row>
    <row r="5" spans="1:44">
      <c r="B5" s="70"/>
      <c r="C5" s="12"/>
    </row>
    <row r="6" spans="1:44">
      <c r="C6" s="1" t="s">
        <v>43</v>
      </c>
      <c r="D6" s="1" t="s">
        <v>44</v>
      </c>
    </row>
    <row r="7" spans="1:44" s="9" customFormat="1">
      <c r="A7" s="9" t="s">
        <v>204</v>
      </c>
      <c r="C7" s="293" t="s">
        <v>204</v>
      </c>
      <c r="F7" s="9">
        <f>Inputs!$E$12</f>
        <v>2018</v>
      </c>
      <c r="G7" s="9">
        <f>F7+1</f>
        <v>2019</v>
      </c>
      <c r="H7" s="9">
        <f t="shared" ref="H7:W8" si="0">G7+1</f>
        <v>2020</v>
      </c>
      <c r="I7" s="9">
        <f t="shared" si="0"/>
        <v>2021</v>
      </c>
      <c r="J7" s="9">
        <f t="shared" si="0"/>
        <v>2022</v>
      </c>
      <c r="K7" s="9">
        <f t="shared" si="0"/>
        <v>2023</v>
      </c>
      <c r="L7" s="9">
        <f t="shared" si="0"/>
        <v>2024</v>
      </c>
      <c r="M7" s="9">
        <f t="shared" si="0"/>
        <v>2025</v>
      </c>
      <c r="N7" s="9">
        <f t="shared" si="0"/>
        <v>2026</v>
      </c>
      <c r="O7" s="9">
        <f t="shared" si="0"/>
        <v>2027</v>
      </c>
      <c r="P7" s="9">
        <f t="shared" si="0"/>
        <v>2028</v>
      </c>
      <c r="Q7" s="9">
        <f t="shared" si="0"/>
        <v>2029</v>
      </c>
      <c r="R7" s="9">
        <f t="shared" si="0"/>
        <v>2030</v>
      </c>
      <c r="S7" s="9">
        <f t="shared" si="0"/>
        <v>2031</v>
      </c>
      <c r="T7" s="9">
        <f t="shared" si="0"/>
        <v>2032</v>
      </c>
      <c r="U7" s="9">
        <f t="shared" si="0"/>
        <v>2033</v>
      </c>
      <c r="V7" s="9">
        <f t="shared" si="0"/>
        <v>2034</v>
      </c>
      <c r="W7" s="9">
        <f t="shared" si="0"/>
        <v>2035</v>
      </c>
      <c r="X7" s="9">
        <f t="shared" ref="X7:AM8" si="1">W7+1</f>
        <v>2036</v>
      </c>
      <c r="Y7" s="9">
        <f t="shared" si="1"/>
        <v>2037</v>
      </c>
      <c r="Z7" s="9">
        <f t="shared" si="1"/>
        <v>2038</v>
      </c>
      <c r="AA7" s="9">
        <f t="shared" si="1"/>
        <v>2039</v>
      </c>
      <c r="AB7" s="9">
        <f t="shared" si="1"/>
        <v>2040</v>
      </c>
      <c r="AC7" s="9">
        <f t="shared" si="1"/>
        <v>2041</v>
      </c>
      <c r="AD7" s="9">
        <f t="shared" si="1"/>
        <v>2042</v>
      </c>
      <c r="AE7" s="9">
        <f t="shared" si="1"/>
        <v>2043</v>
      </c>
      <c r="AF7" s="9">
        <f t="shared" si="1"/>
        <v>2044</v>
      </c>
      <c r="AG7" s="9">
        <f t="shared" si="1"/>
        <v>2045</v>
      </c>
      <c r="AH7" s="9">
        <f t="shared" si="1"/>
        <v>2046</v>
      </c>
      <c r="AI7" s="9">
        <f t="shared" si="1"/>
        <v>2047</v>
      </c>
      <c r="AJ7" s="9">
        <f t="shared" si="1"/>
        <v>2048</v>
      </c>
      <c r="AK7" s="9">
        <f t="shared" si="1"/>
        <v>2049</v>
      </c>
      <c r="AL7" s="9">
        <f t="shared" si="1"/>
        <v>2050</v>
      </c>
      <c r="AM7" s="9">
        <f t="shared" si="1"/>
        <v>2051</v>
      </c>
      <c r="AN7" s="9">
        <f t="shared" ref="AN7:AR8" si="2">AM7+1</f>
        <v>2052</v>
      </c>
      <c r="AO7" s="9">
        <f t="shared" si="2"/>
        <v>2053</v>
      </c>
      <c r="AP7" s="9">
        <f t="shared" si="2"/>
        <v>2054</v>
      </c>
      <c r="AQ7" s="9">
        <f t="shared" si="2"/>
        <v>2055</v>
      </c>
      <c r="AR7" s="9">
        <f t="shared" si="2"/>
        <v>2056</v>
      </c>
    </row>
    <row r="8" spans="1:44">
      <c r="B8" s="1" t="s">
        <v>205</v>
      </c>
      <c r="C8" s="22" t="s">
        <v>49</v>
      </c>
      <c r="F8" s="1">
        <f>D8+1</f>
        <v>1</v>
      </c>
      <c r="G8" s="1">
        <f t="shared" ref="G8" si="3">F8+1</f>
        <v>2</v>
      </c>
      <c r="H8" s="1">
        <f t="shared" si="0"/>
        <v>3</v>
      </c>
      <c r="I8" s="1">
        <f t="shared" si="0"/>
        <v>4</v>
      </c>
      <c r="J8" s="1">
        <f t="shared" si="0"/>
        <v>5</v>
      </c>
      <c r="K8" s="1">
        <f t="shared" si="0"/>
        <v>6</v>
      </c>
      <c r="L8" s="1">
        <f t="shared" si="0"/>
        <v>7</v>
      </c>
      <c r="M8" s="1">
        <f t="shared" si="0"/>
        <v>8</v>
      </c>
      <c r="N8" s="1">
        <f t="shared" si="0"/>
        <v>9</v>
      </c>
      <c r="O8" s="1">
        <f t="shared" si="0"/>
        <v>10</v>
      </c>
      <c r="P8" s="1">
        <f t="shared" si="0"/>
        <v>11</v>
      </c>
      <c r="Q8" s="1">
        <f t="shared" si="0"/>
        <v>12</v>
      </c>
      <c r="R8" s="1">
        <f t="shared" si="0"/>
        <v>13</v>
      </c>
      <c r="S8" s="1">
        <f t="shared" si="0"/>
        <v>14</v>
      </c>
      <c r="T8" s="1">
        <f t="shared" si="0"/>
        <v>15</v>
      </c>
      <c r="U8" s="1">
        <f t="shared" si="0"/>
        <v>16</v>
      </c>
      <c r="V8" s="1">
        <f t="shared" si="0"/>
        <v>17</v>
      </c>
      <c r="W8" s="1">
        <f t="shared" si="0"/>
        <v>18</v>
      </c>
      <c r="X8" s="1">
        <f t="shared" si="1"/>
        <v>19</v>
      </c>
      <c r="Y8" s="1">
        <f t="shared" si="1"/>
        <v>20</v>
      </c>
      <c r="Z8" s="1">
        <f t="shared" si="1"/>
        <v>21</v>
      </c>
      <c r="AA8" s="1">
        <f t="shared" si="1"/>
        <v>22</v>
      </c>
      <c r="AB8" s="1">
        <f t="shared" si="1"/>
        <v>23</v>
      </c>
      <c r="AC8" s="1">
        <f t="shared" si="1"/>
        <v>24</v>
      </c>
      <c r="AD8" s="1">
        <f t="shared" si="1"/>
        <v>25</v>
      </c>
      <c r="AE8" s="1">
        <f t="shared" si="1"/>
        <v>26</v>
      </c>
      <c r="AF8" s="1">
        <f t="shared" si="1"/>
        <v>27</v>
      </c>
      <c r="AG8" s="1">
        <f t="shared" si="1"/>
        <v>28</v>
      </c>
      <c r="AH8" s="1">
        <f t="shared" si="1"/>
        <v>29</v>
      </c>
      <c r="AI8" s="1">
        <f t="shared" si="1"/>
        <v>30</v>
      </c>
      <c r="AJ8" s="1">
        <f t="shared" si="1"/>
        <v>31</v>
      </c>
      <c r="AK8" s="1">
        <f t="shared" si="1"/>
        <v>32</v>
      </c>
      <c r="AL8" s="1">
        <f t="shared" si="1"/>
        <v>33</v>
      </c>
      <c r="AM8" s="1">
        <f t="shared" si="1"/>
        <v>34</v>
      </c>
      <c r="AN8" s="1">
        <f t="shared" si="2"/>
        <v>35</v>
      </c>
      <c r="AO8" s="1">
        <f t="shared" si="2"/>
        <v>36</v>
      </c>
      <c r="AP8" s="1">
        <f t="shared" si="2"/>
        <v>37</v>
      </c>
      <c r="AQ8" s="1">
        <f t="shared" si="2"/>
        <v>38</v>
      </c>
      <c r="AR8" s="1">
        <f t="shared" si="2"/>
        <v>39</v>
      </c>
    </row>
    <row r="9" spans="1:44">
      <c r="B9" s="1" t="s">
        <v>206</v>
      </c>
      <c r="C9" s="22" t="s">
        <v>207</v>
      </c>
      <c r="F9" s="1">
        <f>IF(F7=Inputs!$E$13,1,0)</f>
        <v>0</v>
      </c>
      <c r="G9" s="1">
        <f>IF(G7=Inputs!$E$13,1,0)</f>
        <v>0</v>
      </c>
      <c r="H9" s="1">
        <f>IF(H7=Inputs!$E$13,1,0)</f>
        <v>0</v>
      </c>
      <c r="I9" s="1">
        <f>IF(I7=Inputs!$E$13,1,0)</f>
        <v>1</v>
      </c>
      <c r="J9" s="1">
        <f>IF(J7=Inputs!$E$13,1,0)</f>
        <v>0</v>
      </c>
      <c r="K9" s="1">
        <f>IF(K7=Inputs!$E$13,1,0)</f>
        <v>0</v>
      </c>
      <c r="L9" s="1">
        <f>IF(L7=Inputs!$E$13,1,0)</f>
        <v>0</v>
      </c>
      <c r="M9" s="1">
        <f>IF(M7=Inputs!$E$13,1,0)</f>
        <v>0</v>
      </c>
      <c r="N9" s="1">
        <f>IF(N7=Inputs!$E$13,1,0)</f>
        <v>0</v>
      </c>
      <c r="O9" s="1">
        <f>IF(O7=Inputs!$E$13,1,0)</f>
        <v>0</v>
      </c>
      <c r="P9" s="1">
        <f>IF(P7=Inputs!$E$13,1,0)</f>
        <v>0</v>
      </c>
      <c r="Q9" s="1">
        <f>IF(Q7=Inputs!$E$13,1,0)</f>
        <v>0</v>
      </c>
      <c r="R9" s="1">
        <f>IF(R7=Inputs!$E$13,1,0)</f>
        <v>0</v>
      </c>
      <c r="S9" s="1">
        <f>IF(S7=Inputs!$E$13,1,0)</f>
        <v>0</v>
      </c>
      <c r="T9" s="1">
        <f>IF(T7=Inputs!$E$13,1,0)</f>
        <v>0</v>
      </c>
      <c r="U9" s="1">
        <f>IF(U7=Inputs!$E$13,1,0)</f>
        <v>0</v>
      </c>
      <c r="V9" s="1">
        <f>IF(V7=Inputs!$E$13,1,0)</f>
        <v>0</v>
      </c>
      <c r="W9" s="1">
        <f>IF(W7=Inputs!$E$13,1,0)</f>
        <v>0</v>
      </c>
      <c r="X9" s="1">
        <f>IF(X7=Inputs!$E$13,1,0)</f>
        <v>0</v>
      </c>
      <c r="Y9" s="1">
        <f>IF(Y7=Inputs!$E$13,1,0)</f>
        <v>0</v>
      </c>
      <c r="Z9" s="1">
        <f>IF(Z7=Inputs!$E$13,1,0)</f>
        <v>0</v>
      </c>
      <c r="AA9" s="1">
        <f>IF(AA7=Inputs!$E$13,1,0)</f>
        <v>0</v>
      </c>
      <c r="AB9" s="1">
        <f>IF(AB7=Inputs!$E$13,1,0)</f>
        <v>0</v>
      </c>
      <c r="AC9" s="1">
        <f>IF(AC7=Inputs!$E$13,1,0)</f>
        <v>0</v>
      </c>
      <c r="AD9" s="1">
        <f>IF(AD7=Inputs!$E$13,1,0)</f>
        <v>0</v>
      </c>
      <c r="AE9" s="1">
        <f>IF(AE7=Inputs!$E$13,1,0)</f>
        <v>0</v>
      </c>
      <c r="AF9" s="1">
        <f>IF(AF7=Inputs!$E$13,1,0)</f>
        <v>0</v>
      </c>
      <c r="AG9" s="1">
        <f>IF(AG7=Inputs!$E$13,1,0)</f>
        <v>0</v>
      </c>
      <c r="AH9" s="1">
        <f>IF(AH7=Inputs!$E$13,1,0)</f>
        <v>0</v>
      </c>
      <c r="AI9" s="1">
        <f>IF(AI7=Inputs!$E$13,1,0)</f>
        <v>0</v>
      </c>
      <c r="AJ9" s="1">
        <f>IF(AJ7=Inputs!$E$13,1,0)</f>
        <v>0</v>
      </c>
      <c r="AK9" s="1">
        <f>IF(AK7=Inputs!$E$13,1,0)</f>
        <v>0</v>
      </c>
      <c r="AL9" s="1">
        <f>IF(AL7=Inputs!$E$13,1,0)</f>
        <v>0</v>
      </c>
      <c r="AM9" s="1">
        <f>IF(AM7=Inputs!$E$13,1,0)</f>
        <v>0</v>
      </c>
      <c r="AN9" s="1">
        <f>IF(AN7=Inputs!$E$13,1,0)</f>
        <v>0</v>
      </c>
      <c r="AO9" s="1">
        <f>IF(AO7=Inputs!$E$13,1,0)</f>
        <v>0</v>
      </c>
      <c r="AP9" s="1">
        <f>IF(AP7=Inputs!$E$13,1,0)</f>
        <v>0</v>
      </c>
      <c r="AQ9" s="1">
        <f>IF(AQ7=Inputs!$E$13,1,0)</f>
        <v>0</v>
      </c>
      <c r="AR9" s="1">
        <f>IF(AR7=Inputs!$E$13,1,0)</f>
        <v>0</v>
      </c>
    </row>
    <row r="10" spans="1:44">
      <c r="B10" s="1" t="s">
        <v>208</v>
      </c>
      <c r="C10" s="22" t="s">
        <v>56</v>
      </c>
      <c r="F10" s="1">
        <f t="shared" ref="F10:H10" si="4">F7-$I$7+1</f>
        <v>-2</v>
      </c>
      <c r="G10" s="1">
        <f t="shared" si="4"/>
        <v>-1</v>
      </c>
      <c r="H10" s="1">
        <f t="shared" si="4"/>
        <v>0</v>
      </c>
      <c r="I10" s="1">
        <f>I7-$I$7+1</f>
        <v>1</v>
      </c>
      <c r="J10" s="1">
        <f t="shared" ref="J10:AR10" si="5">J7-$I$7+1</f>
        <v>2</v>
      </c>
      <c r="K10" s="1">
        <f t="shared" si="5"/>
        <v>3</v>
      </c>
      <c r="L10" s="1">
        <f t="shared" si="5"/>
        <v>4</v>
      </c>
      <c r="M10" s="1">
        <f t="shared" si="5"/>
        <v>5</v>
      </c>
      <c r="N10" s="1">
        <f t="shared" si="5"/>
        <v>6</v>
      </c>
      <c r="O10" s="1">
        <f t="shared" si="5"/>
        <v>7</v>
      </c>
      <c r="P10" s="1">
        <f t="shared" si="5"/>
        <v>8</v>
      </c>
      <c r="Q10" s="1">
        <f t="shared" si="5"/>
        <v>9</v>
      </c>
      <c r="R10" s="1">
        <f t="shared" si="5"/>
        <v>10</v>
      </c>
      <c r="S10" s="1">
        <f t="shared" si="5"/>
        <v>11</v>
      </c>
      <c r="T10" s="1">
        <f t="shared" si="5"/>
        <v>12</v>
      </c>
      <c r="U10" s="1">
        <f t="shared" si="5"/>
        <v>13</v>
      </c>
      <c r="V10" s="1">
        <f t="shared" si="5"/>
        <v>14</v>
      </c>
      <c r="W10" s="1">
        <f t="shared" si="5"/>
        <v>15</v>
      </c>
      <c r="X10" s="1">
        <f t="shared" si="5"/>
        <v>16</v>
      </c>
      <c r="Y10" s="1">
        <f t="shared" si="5"/>
        <v>17</v>
      </c>
      <c r="Z10" s="1">
        <f t="shared" si="5"/>
        <v>18</v>
      </c>
      <c r="AA10" s="1">
        <f t="shared" si="5"/>
        <v>19</v>
      </c>
      <c r="AB10" s="1">
        <f t="shared" si="5"/>
        <v>20</v>
      </c>
      <c r="AC10" s="1">
        <f t="shared" si="5"/>
        <v>21</v>
      </c>
      <c r="AD10" s="1">
        <f t="shared" si="5"/>
        <v>22</v>
      </c>
      <c r="AE10" s="1">
        <f t="shared" si="5"/>
        <v>23</v>
      </c>
      <c r="AF10" s="1">
        <f t="shared" si="5"/>
        <v>24</v>
      </c>
      <c r="AG10" s="1">
        <f t="shared" si="5"/>
        <v>25</v>
      </c>
      <c r="AH10" s="1">
        <f t="shared" si="5"/>
        <v>26</v>
      </c>
      <c r="AI10" s="1">
        <f t="shared" si="5"/>
        <v>27</v>
      </c>
      <c r="AJ10" s="1">
        <f t="shared" si="5"/>
        <v>28</v>
      </c>
      <c r="AK10" s="1">
        <f t="shared" si="5"/>
        <v>29</v>
      </c>
      <c r="AL10" s="1">
        <f t="shared" si="5"/>
        <v>30</v>
      </c>
      <c r="AM10" s="1">
        <f t="shared" si="5"/>
        <v>31</v>
      </c>
      <c r="AN10" s="1">
        <f t="shared" si="5"/>
        <v>32</v>
      </c>
      <c r="AO10" s="1">
        <f t="shared" si="5"/>
        <v>33</v>
      </c>
      <c r="AP10" s="1">
        <f t="shared" si="5"/>
        <v>34</v>
      </c>
      <c r="AQ10" s="1">
        <f t="shared" si="5"/>
        <v>35</v>
      </c>
      <c r="AR10" s="1">
        <f t="shared" si="5"/>
        <v>36</v>
      </c>
    </row>
    <row r="11" spans="1:44">
      <c r="B11" s="1" t="s">
        <v>209</v>
      </c>
      <c r="C11" s="22" t="s">
        <v>207</v>
      </c>
      <c r="F11" s="1">
        <f>IF(AND(F7&gt;=Inputs!$E$17,F7&lt;Inputs!$E$21),1,0)</f>
        <v>0</v>
      </c>
      <c r="G11" s="1">
        <f>IF(AND(G7&gt;=Inputs!$E$17,G7&lt;Inputs!$E$21),1,0)</f>
        <v>0</v>
      </c>
      <c r="H11" s="1">
        <f>IF(AND(H7&gt;=Inputs!$E$17,H7&lt;Inputs!$E$21),1,0)</f>
        <v>0</v>
      </c>
      <c r="I11" s="1">
        <f>IF(AND(I7&gt;=Inputs!$E$17,I7&lt;Inputs!$E$21),1,0)</f>
        <v>0</v>
      </c>
      <c r="J11" s="1">
        <f>IF(AND(J7&gt;=Inputs!$E$17,J7&lt;Inputs!$E$21),1,0)</f>
        <v>0</v>
      </c>
      <c r="K11" s="1">
        <f>IF(AND(K7&gt;=Inputs!$E$17,K7&lt;Inputs!$E$21),1,0)</f>
        <v>0</v>
      </c>
      <c r="L11" s="1">
        <f>IF(AND(L7&gt;=Inputs!$E$17,L7&lt;Inputs!$E$21),1,0)</f>
        <v>0</v>
      </c>
      <c r="M11" s="1">
        <f>IF(AND(M7&gt;=Inputs!$E$17,M7&lt;Inputs!$E$21),1,0)</f>
        <v>0</v>
      </c>
      <c r="N11" s="1">
        <f>IF(AND(N7&gt;=Inputs!$E$17,N7&lt;Inputs!$E$21),1,0)</f>
        <v>0</v>
      </c>
      <c r="O11" s="1">
        <f>IF(AND(O7&gt;=Inputs!$E$17,O7&lt;Inputs!$E$21),1,0)</f>
        <v>1</v>
      </c>
      <c r="P11" s="1">
        <f>IF(AND(P7&gt;=Inputs!$E$17,P7&lt;Inputs!$E$21),1,0)</f>
        <v>1</v>
      </c>
      <c r="Q11" s="1">
        <f>IF(AND(Q7&gt;=Inputs!$E$17,Q7&lt;Inputs!$E$21),1,0)</f>
        <v>1</v>
      </c>
      <c r="R11" s="1">
        <f>IF(AND(R7&gt;=Inputs!$E$17,R7&lt;Inputs!$E$21),1,0)</f>
        <v>1</v>
      </c>
      <c r="S11" s="1">
        <f>IF(AND(S7&gt;=Inputs!$E$17,S7&lt;Inputs!$E$21),1,0)</f>
        <v>1</v>
      </c>
      <c r="T11" s="1">
        <f>IF(AND(T7&gt;=Inputs!$E$17,T7&lt;Inputs!$E$21),1,0)</f>
        <v>1</v>
      </c>
      <c r="U11" s="1">
        <f>IF(AND(U7&gt;=Inputs!$E$17,U7&lt;Inputs!$E$21),1,0)</f>
        <v>1</v>
      </c>
      <c r="V11" s="1">
        <f>IF(AND(V7&gt;=Inputs!$E$17,V7&lt;Inputs!$E$21),1,0)</f>
        <v>1</v>
      </c>
      <c r="W11" s="1">
        <f>IF(AND(W7&gt;=Inputs!$E$17,W7&lt;Inputs!$E$21),1,0)</f>
        <v>1</v>
      </c>
      <c r="X11" s="1">
        <f>IF(AND(X7&gt;=Inputs!$E$17,X7&lt;Inputs!$E$21),1,0)</f>
        <v>1</v>
      </c>
      <c r="Y11" s="1">
        <f>IF(AND(Y7&gt;=Inputs!$E$17,Y7&lt;Inputs!$E$21),1,0)</f>
        <v>1</v>
      </c>
      <c r="Z11" s="1">
        <f>IF(AND(Z7&gt;=Inputs!$E$17,Z7&lt;Inputs!$E$21),1,0)</f>
        <v>1</v>
      </c>
      <c r="AA11" s="1">
        <f>IF(AND(AA7&gt;=Inputs!$E$17,AA7&lt;Inputs!$E$21),1,0)</f>
        <v>1</v>
      </c>
      <c r="AB11" s="1">
        <f>IF(AND(AB7&gt;=Inputs!$E$17,AB7&lt;Inputs!$E$21),1,0)</f>
        <v>1</v>
      </c>
      <c r="AC11" s="1">
        <f>IF(AND(AC7&gt;=Inputs!$E$17,AC7&lt;Inputs!$E$21),1,0)</f>
        <v>1</v>
      </c>
      <c r="AD11" s="1">
        <f>IF(AND(AD7&gt;=Inputs!$E$17,AD7&lt;Inputs!$E$21),1,0)</f>
        <v>1</v>
      </c>
      <c r="AE11" s="1">
        <f>IF(AND(AE7&gt;=Inputs!$E$17,AE7&lt;Inputs!$E$21),1,0)</f>
        <v>1</v>
      </c>
      <c r="AF11" s="1">
        <f>IF(AND(AF7&gt;=Inputs!$E$17,AF7&lt;Inputs!$E$21),1,0)</f>
        <v>1</v>
      </c>
      <c r="AG11" s="1">
        <f>IF(AND(AG7&gt;=Inputs!$E$17,AG7&lt;Inputs!$E$21),1,0)</f>
        <v>1</v>
      </c>
      <c r="AH11" s="1">
        <f>IF(AND(AH7&gt;=Inputs!$E$17,AH7&lt;Inputs!$E$21),1,0)</f>
        <v>1</v>
      </c>
      <c r="AI11" s="1">
        <f>IF(AND(AI7&gt;=Inputs!$E$17,AI7&lt;Inputs!$E$21),1,0)</f>
        <v>0</v>
      </c>
      <c r="AJ11" s="1">
        <f>IF(AND(AJ7&gt;=Inputs!$E$17,AJ7&lt;Inputs!$E$21),1,0)</f>
        <v>0</v>
      </c>
      <c r="AK11" s="1">
        <f>IF(AND(AK7&gt;=Inputs!$E$17,AK7&lt;Inputs!$E$21),1,0)</f>
        <v>0</v>
      </c>
      <c r="AL11" s="1">
        <f>IF(AND(AL7&gt;=Inputs!$E$17,AL7&lt;Inputs!$E$21),1,0)</f>
        <v>0</v>
      </c>
      <c r="AM11" s="1">
        <f>IF(AND(AM7&gt;=Inputs!$E$17,AM7&lt;Inputs!$E$21),1,0)</f>
        <v>0</v>
      </c>
      <c r="AN11" s="1">
        <f>IF(AND(AN7&gt;=Inputs!$E$17,AN7&lt;Inputs!$E$21),1,0)</f>
        <v>0</v>
      </c>
      <c r="AO11" s="1">
        <f>IF(AND(AO7&gt;=Inputs!$E$17,AO7&lt;Inputs!$E$21),1,0)</f>
        <v>0</v>
      </c>
      <c r="AP11" s="1">
        <f>IF(AND(AP7&gt;=Inputs!$E$17,AP7&lt;Inputs!$E$21),1,0)</f>
        <v>0</v>
      </c>
      <c r="AQ11" s="1">
        <f>IF(AND(AQ7&gt;=Inputs!$E$17,AQ7&lt;Inputs!$E$21),1,0)</f>
        <v>0</v>
      </c>
      <c r="AR11" s="1">
        <f>IF(AND(AR7&gt;=Inputs!$E$17,AR7&lt;Inputs!$E$21),1,0)</f>
        <v>0</v>
      </c>
    </row>
    <row r="12" spans="1:44" ht="15">
      <c r="A12" s="2" t="s">
        <v>210</v>
      </c>
      <c r="C12" s="22"/>
    </row>
    <row r="13" spans="1:44">
      <c r="B13" s="1" t="s">
        <v>211</v>
      </c>
      <c r="C13" s="22" t="s">
        <v>49</v>
      </c>
      <c r="F13" s="1">
        <f>(F11+D13)*F11</f>
        <v>0</v>
      </c>
      <c r="G13" s="1">
        <f t="shared" ref="G13:AG13" si="6">(G11+F13)*G11</f>
        <v>0</v>
      </c>
      <c r="H13" s="1">
        <f t="shared" si="6"/>
        <v>0</v>
      </c>
      <c r="I13" s="1">
        <f t="shared" si="6"/>
        <v>0</v>
      </c>
      <c r="J13" s="1">
        <f t="shared" si="6"/>
        <v>0</v>
      </c>
      <c r="K13" s="1">
        <f t="shared" si="6"/>
        <v>0</v>
      </c>
      <c r="L13" s="1">
        <f t="shared" si="6"/>
        <v>0</v>
      </c>
      <c r="M13" s="1">
        <f t="shared" si="6"/>
        <v>0</v>
      </c>
      <c r="N13" s="1">
        <f t="shared" si="6"/>
        <v>0</v>
      </c>
      <c r="O13" s="1">
        <f t="shared" si="6"/>
        <v>1</v>
      </c>
      <c r="P13" s="1">
        <f t="shared" si="6"/>
        <v>2</v>
      </c>
      <c r="Q13" s="1">
        <f t="shared" si="6"/>
        <v>3</v>
      </c>
      <c r="R13" s="1">
        <f t="shared" si="6"/>
        <v>4</v>
      </c>
      <c r="S13" s="1">
        <f t="shared" si="6"/>
        <v>5</v>
      </c>
      <c r="T13" s="1">
        <f t="shared" si="6"/>
        <v>6</v>
      </c>
      <c r="U13" s="1">
        <f t="shared" si="6"/>
        <v>7</v>
      </c>
      <c r="V13" s="1">
        <f t="shared" si="6"/>
        <v>8</v>
      </c>
      <c r="W13" s="1">
        <f t="shared" si="6"/>
        <v>9</v>
      </c>
      <c r="X13" s="1">
        <f t="shared" si="6"/>
        <v>10</v>
      </c>
      <c r="Y13" s="1">
        <f t="shared" si="6"/>
        <v>11</v>
      </c>
      <c r="Z13" s="1">
        <f t="shared" si="6"/>
        <v>12</v>
      </c>
      <c r="AA13" s="1">
        <f t="shared" si="6"/>
        <v>13</v>
      </c>
      <c r="AB13" s="1">
        <f t="shared" si="6"/>
        <v>14</v>
      </c>
      <c r="AC13" s="1">
        <f t="shared" si="6"/>
        <v>15</v>
      </c>
      <c r="AD13" s="1">
        <f t="shared" si="6"/>
        <v>16</v>
      </c>
      <c r="AE13" s="1">
        <f t="shared" si="6"/>
        <v>17</v>
      </c>
      <c r="AF13" s="1">
        <f t="shared" si="6"/>
        <v>18</v>
      </c>
      <c r="AG13" s="1">
        <f t="shared" si="6"/>
        <v>19</v>
      </c>
      <c r="AH13" s="1">
        <f>(AH11+AG13)*AH11</f>
        <v>20</v>
      </c>
      <c r="AI13" s="1">
        <f t="shared" ref="AI13:AR13" si="7">(AI11+AH13)*AI11</f>
        <v>0</v>
      </c>
      <c r="AJ13" s="1">
        <f t="shared" si="7"/>
        <v>0</v>
      </c>
      <c r="AK13" s="1">
        <f t="shared" si="7"/>
        <v>0</v>
      </c>
      <c r="AL13" s="1">
        <f t="shared" si="7"/>
        <v>0</v>
      </c>
      <c r="AM13" s="1">
        <f t="shared" si="7"/>
        <v>0</v>
      </c>
      <c r="AN13" s="1">
        <f t="shared" si="7"/>
        <v>0</v>
      </c>
      <c r="AO13" s="1">
        <f t="shared" si="7"/>
        <v>0</v>
      </c>
      <c r="AP13" s="1">
        <f t="shared" si="7"/>
        <v>0</v>
      </c>
      <c r="AQ13" s="1">
        <f t="shared" si="7"/>
        <v>0</v>
      </c>
      <c r="AR13" s="1">
        <f t="shared" si="7"/>
        <v>0</v>
      </c>
    </row>
    <row r="14" spans="1:44" ht="15">
      <c r="A14" s="2" t="s">
        <v>9</v>
      </c>
      <c r="C14" s="22"/>
    </row>
    <row r="15" spans="1:44">
      <c r="B15" s="1" t="s">
        <v>65</v>
      </c>
      <c r="C15" s="22" t="s">
        <v>49</v>
      </c>
      <c r="D15" s="73">
        <f>Inputs!E24</f>
        <v>0</v>
      </c>
      <c r="E15" s="73"/>
      <c r="F15" s="3">
        <f>1/(1+$D15)^(F$10-1)</f>
        <v>1</v>
      </c>
      <c r="G15" s="3">
        <f t="shared" ref="G15:AR15" si="8">1/(1+$D15)^(G$10-1)</f>
        <v>1</v>
      </c>
      <c r="H15" s="3">
        <f t="shared" si="8"/>
        <v>1</v>
      </c>
      <c r="I15" s="3">
        <f t="shared" si="8"/>
        <v>1</v>
      </c>
      <c r="J15" s="3">
        <f t="shared" si="8"/>
        <v>1</v>
      </c>
      <c r="K15" s="3">
        <f t="shared" si="8"/>
        <v>1</v>
      </c>
      <c r="L15" s="3">
        <f t="shared" si="8"/>
        <v>1</v>
      </c>
      <c r="M15" s="3">
        <f t="shared" si="8"/>
        <v>1</v>
      </c>
      <c r="N15" s="3">
        <f t="shared" si="8"/>
        <v>1</v>
      </c>
      <c r="O15" s="3">
        <f t="shared" si="8"/>
        <v>1</v>
      </c>
      <c r="P15" s="3">
        <f t="shared" si="8"/>
        <v>1</v>
      </c>
      <c r="Q15" s="3">
        <f t="shared" si="8"/>
        <v>1</v>
      </c>
      <c r="R15" s="3">
        <f t="shared" si="8"/>
        <v>1</v>
      </c>
      <c r="S15" s="3">
        <f t="shared" si="8"/>
        <v>1</v>
      </c>
      <c r="T15" s="3">
        <f t="shared" si="8"/>
        <v>1</v>
      </c>
      <c r="U15" s="3">
        <f t="shared" si="8"/>
        <v>1</v>
      </c>
      <c r="V15" s="3">
        <f t="shared" si="8"/>
        <v>1</v>
      </c>
      <c r="W15" s="3">
        <f t="shared" si="8"/>
        <v>1</v>
      </c>
      <c r="X15" s="3">
        <f t="shared" si="8"/>
        <v>1</v>
      </c>
      <c r="Y15" s="3">
        <f t="shared" si="8"/>
        <v>1</v>
      </c>
      <c r="Z15" s="3">
        <f t="shared" si="8"/>
        <v>1</v>
      </c>
      <c r="AA15" s="3">
        <f t="shared" si="8"/>
        <v>1</v>
      </c>
      <c r="AB15" s="3">
        <f t="shared" si="8"/>
        <v>1</v>
      </c>
      <c r="AC15" s="3">
        <f t="shared" si="8"/>
        <v>1</v>
      </c>
      <c r="AD15" s="3">
        <f t="shared" si="8"/>
        <v>1</v>
      </c>
      <c r="AE15" s="3">
        <f t="shared" si="8"/>
        <v>1</v>
      </c>
      <c r="AF15" s="3">
        <f t="shared" si="8"/>
        <v>1</v>
      </c>
      <c r="AG15" s="3">
        <f t="shared" si="8"/>
        <v>1</v>
      </c>
      <c r="AH15" s="3">
        <f t="shared" si="8"/>
        <v>1</v>
      </c>
      <c r="AI15" s="3">
        <f t="shared" si="8"/>
        <v>1</v>
      </c>
      <c r="AJ15" s="3">
        <f t="shared" si="8"/>
        <v>1</v>
      </c>
      <c r="AK15" s="3">
        <f t="shared" si="8"/>
        <v>1</v>
      </c>
      <c r="AL15" s="3">
        <f t="shared" si="8"/>
        <v>1</v>
      </c>
      <c r="AM15" s="3">
        <f t="shared" si="8"/>
        <v>1</v>
      </c>
      <c r="AN15" s="3">
        <f t="shared" si="8"/>
        <v>1</v>
      </c>
      <c r="AO15" s="3">
        <f t="shared" si="8"/>
        <v>1</v>
      </c>
      <c r="AP15" s="3">
        <f t="shared" si="8"/>
        <v>1</v>
      </c>
      <c r="AQ15" s="3">
        <f t="shared" si="8"/>
        <v>1</v>
      </c>
      <c r="AR15" s="3">
        <f t="shared" si="8"/>
        <v>1</v>
      </c>
    </row>
    <row r="16" spans="1:44">
      <c r="B16" s="1" t="s">
        <v>67</v>
      </c>
      <c r="C16" s="22" t="s">
        <v>49</v>
      </c>
      <c r="D16" s="73">
        <f>Inputs!E25</f>
        <v>0.03</v>
      </c>
      <c r="E16" s="73"/>
      <c r="F16" s="3">
        <f t="shared" ref="F16:G16" si="9">MIN(1,IF(F10=0,1,1/(1+$D16)^(F$10-1)))</f>
        <v>1</v>
      </c>
      <c r="G16" s="3">
        <f t="shared" si="9"/>
        <v>1</v>
      </c>
      <c r="H16" s="3">
        <f>MIN(1,IF(H10=0,1,1/(1+$D16)^(H$10-1)))</f>
        <v>1</v>
      </c>
      <c r="I16" s="3">
        <f t="shared" ref="I16:AR16" si="10">MIN(1,IF(I10=0,1,1/(1+$D16)^(I$10-1)))</f>
        <v>1</v>
      </c>
      <c r="J16" s="3">
        <f t="shared" si="10"/>
        <v>0.970873786407767</v>
      </c>
      <c r="K16" s="3">
        <f t="shared" si="10"/>
        <v>0.94259590913375435</v>
      </c>
      <c r="L16" s="3">
        <f t="shared" si="10"/>
        <v>0.91514165935315961</v>
      </c>
      <c r="M16" s="3">
        <f t="shared" si="10"/>
        <v>0.888487047915689</v>
      </c>
      <c r="N16" s="3">
        <f t="shared" si="10"/>
        <v>0.86260878438416411</v>
      </c>
      <c r="O16" s="3">
        <f t="shared" si="10"/>
        <v>0.83748425668365445</v>
      </c>
      <c r="P16" s="3">
        <f t="shared" si="10"/>
        <v>0.81309151134335378</v>
      </c>
      <c r="Q16" s="3">
        <f t="shared" si="10"/>
        <v>0.78940923431393573</v>
      </c>
      <c r="R16" s="3">
        <f t="shared" si="10"/>
        <v>0.76641673234362695</v>
      </c>
      <c r="S16" s="3">
        <f t="shared" si="10"/>
        <v>0.74409391489672516</v>
      </c>
      <c r="T16" s="3">
        <f t="shared" si="10"/>
        <v>0.72242127659876232</v>
      </c>
      <c r="U16" s="3">
        <f t="shared" si="10"/>
        <v>0.70137988019297326</v>
      </c>
      <c r="V16" s="3">
        <f t="shared" si="10"/>
        <v>0.68095133999317792</v>
      </c>
      <c r="W16" s="3">
        <f t="shared" si="10"/>
        <v>0.66111780581861923</v>
      </c>
      <c r="X16" s="3">
        <f t="shared" si="10"/>
        <v>0.64186194739671765</v>
      </c>
      <c r="Y16" s="3">
        <f t="shared" si="10"/>
        <v>0.62316693922011435</v>
      </c>
      <c r="Z16" s="3">
        <f t="shared" si="10"/>
        <v>0.60501644584477121</v>
      </c>
      <c r="AA16" s="3">
        <f t="shared" si="10"/>
        <v>0.5873946076162827</v>
      </c>
      <c r="AB16" s="3">
        <f t="shared" si="10"/>
        <v>0.57028602681192497</v>
      </c>
      <c r="AC16" s="3">
        <f t="shared" si="10"/>
        <v>0.55367575418633497</v>
      </c>
      <c r="AD16" s="3">
        <f t="shared" si="10"/>
        <v>0.5375492759090631</v>
      </c>
      <c r="AE16" s="3">
        <f t="shared" si="10"/>
        <v>0.52189250088258554</v>
      </c>
      <c r="AF16" s="3">
        <f t="shared" si="10"/>
        <v>0.50669174842969467</v>
      </c>
      <c r="AG16" s="3">
        <f t="shared" si="10"/>
        <v>0.49193373633950943</v>
      </c>
      <c r="AH16" s="3">
        <f t="shared" si="10"/>
        <v>0.47760556926165965</v>
      </c>
      <c r="AI16" s="3">
        <f t="shared" si="10"/>
        <v>0.46369472743850448</v>
      </c>
      <c r="AJ16" s="3">
        <f t="shared" si="10"/>
        <v>0.45018905576553836</v>
      </c>
      <c r="AK16" s="3">
        <f t="shared" si="10"/>
        <v>0.4370767531704256</v>
      </c>
      <c r="AL16" s="3">
        <f t="shared" si="10"/>
        <v>0.42434636230138412</v>
      </c>
      <c r="AM16" s="3">
        <f t="shared" si="10"/>
        <v>0.41198675951590691</v>
      </c>
      <c r="AN16" s="3">
        <f t="shared" si="10"/>
        <v>0.39998714516107459</v>
      </c>
      <c r="AO16" s="3">
        <f t="shared" si="10"/>
        <v>0.38833703413696569</v>
      </c>
      <c r="AP16" s="3">
        <f t="shared" si="10"/>
        <v>0.37702624673491814</v>
      </c>
      <c r="AQ16" s="3">
        <f t="shared" si="10"/>
        <v>0.36604489974263904</v>
      </c>
      <c r="AR16" s="3">
        <f t="shared" si="10"/>
        <v>0.35538339780838735</v>
      </c>
    </row>
    <row r="17" spans="1:44">
      <c r="B17" s="1" t="s">
        <v>68</v>
      </c>
      <c r="C17" s="22" t="s">
        <v>49</v>
      </c>
      <c r="D17" s="73">
        <f>Inputs!E26</f>
        <v>7.0000000000000007E-2</v>
      </c>
      <c r="E17" s="73"/>
      <c r="F17" s="3">
        <f t="shared" ref="F17:G17" si="11">MIN(1,IF(F10=0,1,1/(1+$D17)^(F$10-1)))</f>
        <v>1</v>
      </c>
      <c r="G17" s="3">
        <f t="shared" si="11"/>
        <v>1</v>
      </c>
      <c r="H17" s="3">
        <f>MIN(1,IF(H10=0,1,1/(1+$D17)^(H$10-1)))</f>
        <v>1</v>
      </c>
      <c r="I17" s="3">
        <f t="shared" ref="I17:AR17" si="12">MIN(1,IF(I10=0,1,1/(1+$D17)^(I$10-1)))</f>
        <v>1</v>
      </c>
      <c r="J17" s="3">
        <f t="shared" si="12"/>
        <v>0.93457943925233644</v>
      </c>
      <c r="K17" s="3">
        <f t="shared" si="12"/>
        <v>0.87343872827321156</v>
      </c>
      <c r="L17" s="3">
        <f t="shared" si="12"/>
        <v>0.81629787689085187</v>
      </c>
      <c r="M17" s="3">
        <f t="shared" si="12"/>
        <v>0.7628952120475252</v>
      </c>
      <c r="N17" s="3">
        <f t="shared" si="12"/>
        <v>0.71298617948366838</v>
      </c>
      <c r="O17" s="3">
        <f t="shared" si="12"/>
        <v>0.66634222381651254</v>
      </c>
      <c r="P17" s="3">
        <f t="shared" si="12"/>
        <v>0.62274974188459109</v>
      </c>
      <c r="Q17" s="3">
        <f t="shared" si="12"/>
        <v>0.5820091045650384</v>
      </c>
      <c r="R17" s="3">
        <f t="shared" si="12"/>
        <v>0.54393374258414806</v>
      </c>
      <c r="S17" s="3">
        <f t="shared" si="12"/>
        <v>0.5083492921347178</v>
      </c>
      <c r="T17" s="3">
        <f t="shared" si="12"/>
        <v>0.47509279638758667</v>
      </c>
      <c r="U17" s="3">
        <f t="shared" si="12"/>
        <v>0.44401195924073528</v>
      </c>
      <c r="V17" s="3">
        <f t="shared" si="12"/>
        <v>0.41496444788853759</v>
      </c>
      <c r="W17" s="3">
        <f t="shared" si="12"/>
        <v>0.3878172410173249</v>
      </c>
      <c r="X17" s="3">
        <f t="shared" si="12"/>
        <v>0.36244601964235967</v>
      </c>
      <c r="Y17" s="3">
        <f t="shared" si="12"/>
        <v>0.33873459779659787</v>
      </c>
      <c r="Z17" s="3">
        <f t="shared" si="12"/>
        <v>0.31657439046411018</v>
      </c>
      <c r="AA17" s="3">
        <f t="shared" si="12"/>
        <v>0.29586391632159825</v>
      </c>
      <c r="AB17" s="3">
        <f t="shared" si="12"/>
        <v>0.27650833301083949</v>
      </c>
      <c r="AC17" s="3">
        <f t="shared" si="12"/>
        <v>0.2584190028138687</v>
      </c>
      <c r="AD17" s="3">
        <f t="shared" si="12"/>
        <v>0.24151308674193336</v>
      </c>
      <c r="AE17" s="3">
        <f t="shared" si="12"/>
        <v>0.22571316517937698</v>
      </c>
      <c r="AF17" s="3">
        <f t="shared" si="12"/>
        <v>0.21094688334521211</v>
      </c>
      <c r="AG17" s="3">
        <f t="shared" si="12"/>
        <v>0.19714661994879637</v>
      </c>
      <c r="AH17" s="3">
        <f t="shared" si="12"/>
        <v>0.18424917752223957</v>
      </c>
      <c r="AI17" s="3">
        <f t="shared" si="12"/>
        <v>0.17219549301143888</v>
      </c>
      <c r="AJ17" s="3">
        <f t="shared" si="12"/>
        <v>0.16093036730041013</v>
      </c>
      <c r="AK17" s="3">
        <f t="shared" si="12"/>
        <v>0.15040221243028987</v>
      </c>
      <c r="AL17" s="3">
        <f t="shared" si="12"/>
        <v>0.1405628153554111</v>
      </c>
      <c r="AM17" s="3">
        <f t="shared" si="12"/>
        <v>0.13136711715458982</v>
      </c>
      <c r="AN17" s="3">
        <f t="shared" si="12"/>
        <v>0.1227730066865325</v>
      </c>
      <c r="AO17" s="3">
        <f t="shared" si="12"/>
        <v>0.11474112774442291</v>
      </c>
      <c r="AP17" s="3">
        <f t="shared" si="12"/>
        <v>0.10723469882656347</v>
      </c>
      <c r="AQ17" s="3">
        <f t="shared" si="12"/>
        <v>0.10021934469772288</v>
      </c>
      <c r="AR17" s="3">
        <f t="shared" si="12"/>
        <v>9.366293896983445E-2</v>
      </c>
    </row>
    <row r="18" spans="1:44">
      <c r="C18" s="21"/>
    </row>
    <row r="19" spans="1:44">
      <c r="B19" s="1" t="s">
        <v>212</v>
      </c>
      <c r="C19" s="1" t="s">
        <v>43</v>
      </c>
      <c r="D19" s="1" t="s">
        <v>44</v>
      </c>
    </row>
    <row r="20" spans="1:44" s="9" customFormat="1">
      <c r="A20" s="8" t="s">
        <v>213</v>
      </c>
    </row>
    <row r="21" spans="1:44" ht="15">
      <c r="A21" s="2" t="s">
        <v>237</v>
      </c>
      <c r="C21" s="22"/>
      <c r="D21" s="18"/>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row>
    <row r="22" spans="1:44" ht="15">
      <c r="A22" s="2"/>
      <c r="B22" s="1" t="s">
        <v>308</v>
      </c>
      <c r="C22" s="87"/>
      <c r="D22" s="86"/>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row>
    <row r="23" spans="1:44" ht="15">
      <c r="A23" s="2"/>
      <c r="B23" s="1" t="s">
        <v>309</v>
      </c>
      <c r="C23" s="87"/>
      <c r="D23" s="86"/>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row>
    <row r="24" spans="1:44" ht="15">
      <c r="A24" s="2"/>
      <c r="B24" s="1" t="s">
        <v>310</v>
      </c>
      <c r="C24" s="87"/>
      <c r="D24" s="86"/>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row>
    <row r="25" spans="1:44">
      <c r="B25" s="1" t="s">
        <v>277</v>
      </c>
      <c r="C25" s="22" t="s">
        <v>267</v>
      </c>
      <c r="D25" s="86">
        <f>SUM(F25:AR25)</f>
        <v>0</v>
      </c>
      <c r="F25" s="19">
        <v>0</v>
      </c>
      <c r="G25" s="19">
        <v>0</v>
      </c>
      <c r="H25" s="19">
        <v>0</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0</v>
      </c>
      <c r="AH25" s="19">
        <v>0</v>
      </c>
      <c r="AI25" s="19">
        <v>0</v>
      </c>
      <c r="AJ25" s="19">
        <v>0</v>
      </c>
      <c r="AK25" s="19">
        <v>0</v>
      </c>
      <c r="AL25" s="19">
        <v>0</v>
      </c>
      <c r="AM25" s="19">
        <v>0</v>
      </c>
      <c r="AN25" s="19">
        <v>0</v>
      </c>
      <c r="AO25" s="19">
        <v>0</v>
      </c>
      <c r="AP25" s="19">
        <v>0</v>
      </c>
      <c r="AQ25" s="19">
        <v>0</v>
      </c>
      <c r="AR25" s="19">
        <v>0</v>
      </c>
    </row>
    <row r="26" spans="1:44">
      <c r="C26" s="12"/>
    </row>
    <row r="27" spans="1:44" s="9" customFormat="1">
      <c r="A27" s="8" t="s">
        <v>225</v>
      </c>
      <c r="B27" s="13"/>
      <c r="C27" s="13"/>
    </row>
    <row r="28" spans="1:44" ht="15">
      <c r="A28" s="2" t="s">
        <v>240</v>
      </c>
      <c r="C28" s="22"/>
      <c r="D28" s="18"/>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row>
    <row r="29" spans="1:44" ht="15">
      <c r="A29" s="2"/>
      <c r="B29" s="1" t="str">
        <f>Traffic!$B$37</f>
        <v>Pedestrian Forecast</v>
      </c>
      <c r="C29" s="22" t="s">
        <v>180</v>
      </c>
      <c r="D29" s="18"/>
      <c r="F29" s="19">
        <f>Traffic!F$37</f>
        <v>66.680335831680836</v>
      </c>
      <c r="G29" s="19">
        <f>Traffic!G$37</f>
        <v>67.040359895154836</v>
      </c>
      <c r="H29" s="19">
        <f>Traffic!H$37</f>
        <v>67.402327819958614</v>
      </c>
      <c r="I29" s="19">
        <f>Traffic!I$37</f>
        <v>67.766250101493057</v>
      </c>
      <c r="J29" s="19">
        <f>Traffic!J$37</f>
        <v>68.132137291826353</v>
      </c>
      <c r="K29" s="19">
        <f>Traffic!K$37</f>
        <v>68.500000000000014</v>
      </c>
      <c r="L29" s="19">
        <f>Traffic!L$37</f>
        <v>68.869848892336449</v>
      </c>
      <c r="M29" s="19">
        <f>Traffic!M$37</f>
        <v>69.241694692748254</v>
      </c>
      <c r="N29" s="19">
        <f>Traffic!N$37</f>
        <v>69.615548183049142</v>
      </c>
      <c r="O29" s="19">
        <f>Traffic!O$37</f>
        <v>69.991420203266586</v>
      </c>
      <c r="P29" s="19">
        <f>Traffic!P$37</f>
        <v>70.369321651956099</v>
      </c>
      <c r="Q29" s="19">
        <f>Traffic!Q$37</f>
        <v>70.749263486517293</v>
      </c>
      <c r="R29" s="19">
        <f>Traffic!R$37</f>
        <v>71.131256723511555</v>
      </c>
      <c r="S29" s="19">
        <f>Traffic!S$37</f>
        <v>71.515312438981468</v>
      </c>
      <c r="T29" s="19">
        <f>Traffic!T$37</f>
        <v>71.901441768772003</v>
      </c>
      <c r="U29" s="19">
        <f>Traffic!U$37</f>
        <v>72.289655908853362</v>
      </c>
      <c r="V29" s="19">
        <f>Traffic!V$37</f>
        <v>72.679966115645641</v>
      </c>
      <c r="W29" s="19">
        <f>Traffic!W$37</f>
        <v>73.072383706345221</v>
      </c>
      <c r="X29" s="19">
        <f>Traffic!X$37</f>
        <v>73.466920059252885</v>
      </c>
      <c r="Y29" s="19">
        <f>Traffic!Y$37</f>
        <v>73.863586614103752</v>
      </c>
      <c r="Z29" s="19">
        <f>Traffic!Z$37</f>
        <v>74.262394872398971</v>
      </c>
      <c r="AA29" s="19">
        <f>Traffic!AA$37</f>
        <v>74.663356397739236</v>
      </c>
      <c r="AB29" s="19">
        <f>Traffic!AB$37</f>
        <v>75.066482816160033</v>
      </c>
      <c r="AC29" s="19">
        <f>Traffic!AC$37</f>
        <v>75.471785816468767</v>
      </c>
      <c r="AD29" s="19">
        <f>Traffic!AD$37</f>
        <v>75.879277150583704</v>
      </c>
      <c r="AE29" s="19">
        <f>Traffic!AE$37</f>
        <v>76.288968633874688</v>
      </c>
      <c r="AF29" s="19">
        <f>Traffic!AF$37</f>
        <v>76.700872145505741</v>
      </c>
      <c r="AG29" s="19">
        <f>Traffic!AG$37</f>
        <v>77.114999628779515</v>
      </c>
      <c r="AH29" s="19">
        <f>Traffic!AH$37</f>
        <v>77.531363091483584</v>
      </c>
      <c r="AI29" s="19">
        <f>Traffic!AI$37</f>
        <v>77.949974606238612</v>
      </c>
      <c r="AJ29" s="19">
        <f>Traffic!AJ$37</f>
        <v>78.370846310848407</v>
      </c>
      <c r="AK29" s="19">
        <f>Traffic!AK$37</f>
        <v>78.793990408651851</v>
      </c>
      <c r="AL29" s="19">
        <f>Traffic!AL$37</f>
        <v>79.219419168876783</v>
      </c>
      <c r="AM29" s="19">
        <f>Traffic!AM$37</f>
        <v>79.647144926995679</v>
      </c>
      <c r="AN29" s="19">
        <f>Traffic!AN$37</f>
        <v>80.077180085083398</v>
      </c>
      <c r="AO29" s="19">
        <f>Traffic!AO$37</f>
        <v>80.50953711217673</v>
      </c>
      <c r="AP29" s="19">
        <f>Traffic!AP$37</f>
        <v>80.944228544635962</v>
      </c>
      <c r="AQ29" s="19">
        <f>Traffic!AQ$37</f>
        <v>81.381266986508379</v>
      </c>
      <c r="AR29" s="19">
        <f>Traffic!AR$37</f>
        <v>81.820665109893724</v>
      </c>
    </row>
    <row r="30" spans="1:44" ht="15">
      <c r="A30" s="2"/>
      <c r="B30" s="1" t="s">
        <v>311</v>
      </c>
      <c r="C30" s="22" t="s">
        <v>95</v>
      </c>
      <c r="D30" s="18">
        <f>Inputs!$E$44</f>
        <v>0.53030303030303028</v>
      </c>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row>
    <row r="31" spans="1:44" ht="15">
      <c r="A31" s="2"/>
      <c r="B31" s="1" t="s">
        <v>312</v>
      </c>
      <c r="C31" s="22" t="s">
        <v>313</v>
      </c>
      <c r="D31" s="18"/>
      <c r="F31" s="19">
        <f t="shared" ref="F31:AR31" si="13">F29*$D$30</f>
        <v>35.360784153164076</v>
      </c>
      <c r="G31" s="19">
        <f t="shared" si="13"/>
        <v>35.551706005006352</v>
      </c>
      <c r="H31" s="19">
        <f t="shared" si="13"/>
        <v>35.743658692402292</v>
      </c>
      <c r="I31" s="19">
        <f t="shared" si="13"/>
        <v>35.936647781094798</v>
      </c>
      <c r="J31" s="19">
        <f t="shared" si="13"/>
        <v>36.130678866877609</v>
      </c>
      <c r="K31" s="19">
        <f t="shared" si="13"/>
        <v>36.325757575757578</v>
      </c>
      <c r="L31" s="19">
        <f t="shared" si="13"/>
        <v>36.521889564117814</v>
      </c>
      <c r="M31" s="19">
        <f t="shared" si="13"/>
        <v>36.719080518881647</v>
      </c>
      <c r="N31" s="19">
        <f t="shared" si="13"/>
        <v>36.917336157677575</v>
      </c>
      <c r="O31" s="19">
        <f t="shared" si="13"/>
        <v>37.116662229005009</v>
      </c>
      <c r="P31" s="19">
        <f t="shared" si="13"/>
        <v>37.317064512400961</v>
      </c>
      <c r="Q31" s="19">
        <f t="shared" si="13"/>
        <v>37.518548818607655</v>
      </c>
      <c r="R31" s="19">
        <f t="shared" si="13"/>
        <v>37.721120989740974</v>
      </c>
      <c r="S31" s="19">
        <f t="shared" si="13"/>
        <v>37.924786899459868</v>
      </c>
      <c r="T31" s="19">
        <f t="shared" si="13"/>
        <v>38.129552453136668</v>
      </c>
      <c r="U31" s="19">
        <f t="shared" si="13"/>
        <v>38.335423588028299</v>
      </c>
      <c r="V31" s="19">
        <f t="shared" si="13"/>
        <v>38.542406273448442</v>
      </c>
      <c r="W31" s="19">
        <f t="shared" si="13"/>
        <v>38.750506510940646</v>
      </c>
      <c r="X31" s="19">
        <f t="shared" si="13"/>
        <v>38.959730334452289</v>
      </c>
      <c r="Y31" s="19">
        <f t="shared" si="13"/>
        <v>39.170083810509567</v>
      </c>
      <c r="Z31" s="19">
        <f t="shared" si="13"/>
        <v>39.381573038393391</v>
      </c>
      <c r="AA31" s="19">
        <f t="shared" si="13"/>
        <v>39.594204150316259</v>
      </c>
      <c r="AB31" s="19">
        <f t="shared" si="13"/>
        <v>39.807983311600019</v>
      </c>
      <c r="AC31" s="19">
        <f t="shared" si="13"/>
        <v>40.022916720854646</v>
      </c>
      <c r="AD31" s="19">
        <f t="shared" si="13"/>
        <v>40.239010610158026</v>
      </c>
      <c r="AE31" s="19">
        <f t="shared" si="13"/>
        <v>40.456271245236572</v>
      </c>
      <c r="AF31" s="19">
        <f t="shared" si="13"/>
        <v>40.674704925646985</v>
      </c>
      <c r="AG31" s="19">
        <f t="shared" si="13"/>
        <v>40.894317984958832</v>
      </c>
      <c r="AH31" s="19">
        <f t="shared" si="13"/>
        <v>41.115116790938259</v>
      </c>
      <c r="AI31" s="19">
        <f t="shared" si="13"/>
        <v>41.337107745732595</v>
      </c>
      <c r="AJ31" s="19">
        <f t="shared" si="13"/>
        <v>41.56029728605597</v>
      </c>
      <c r="AK31" s="19">
        <f t="shared" si="13"/>
        <v>41.784691883375977</v>
      </c>
      <c r="AL31" s="19">
        <f t="shared" si="13"/>
        <v>42.010298044101319</v>
      </c>
      <c r="AM31" s="19">
        <f t="shared" si="13"/>
        <v>42.237122309770434</v>
      </c>
      <c r="AN31" s="19">
        <f t="shared" si="13"/>
        <v>42.465171257241195</v>
      </c>
      <c r="AO31" s="19">
        <f t="shared" si="13"/>
        <v>42.694451498881598</v>
      </c>
      <c r="AP31" s="19">
        <f t="shared" si="13"/>
        <v>42.924969682761493</v>
      </c>
      <c r="AQ31" s="19">
        <f t="shared" si="13"/>
        <v>43.15673249284535</v>
      </c>
      <c r="AR31" s="19">
        <f t="shared" si="13"/>
        <v>43.389746649186065</v>
      </c>
    </row>
    <row r="32" spans="1:44" ht="15">
      <c r="A32" s="2" t="s">
        <v>314</v>
      </c>
      <c r="C32" s="22"/>
      <c r="D32" s="18"/>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row>
    <row r="33" spans="1:44" ht="15">
      <c r="A33" s="2"/>
      <c r="B33" s="1" t="s">
        <v>88</v>
      </c>
      <c r="C33" s="22" t="s">
        <v>89</v>
      </c>
      <c r="D33" s="310">
        <f>Inputs!$E$41</f>
        <v>12</v>
      </c>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row>
    <row r="34" spans="1:44" ht="15">
      <c r="A34" s="2"/>
      <c r="B34" s="1" t="s">
        <v>315</v>
      </c>
      <c r="C34" s="22" t="s">
        <v>184</v>
      </c>
      <c r="D34" s="315">
        <f>Inputs!$E$140</f>
        <v>0.11</v>
      </c>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row>
    <row r="35" spans="1:44">
      <c r="B35" s="1" t="s">
        <v>316</v>
      </c>
      <c r="C35" s="22" t="s">
        <v>275</v>
      </c>
      <c r="D35" s="86">
        <f>SUM(F35:AR35)</f>
        <v>2020.1809496388501</v>
      </c>
      <c r="F35" s="19">
        <f t="shared" ref="F35:AR35" si="14">F31*$D$33*$D$34</f>
        <v>46.676235082176582</v>
      </c>
      <c r="G35" s="19">
        <f t="shared" si="14"/>
        <v>46.928251926608382</v>
      </c>
      <c r="H35" s="19">
        <f t="shared" si="14"/>
        <v>47.181629473971029</v>
      </c>
      <c r="I35" s="19">
        <f t="shared" si="14"/>
        <v>47.436375071045134</v>
      </c>
      <c r="J35" s="19">
        <f t="shared" si="14"/>
        <v>47.69249610427844</v>
      </c>
      <c r="K35" s="19">
        <f t="shared" si="14"/>
        <v>47.95</v>
      </c>
      <c r="L35" s="19">
        <f t="shared" si="14"/>
        <v>48.208894224635515</v>
      </c>
      <c r="M35" s="19">
        <f t="shared" si="14"/>
        <v>48.469186284923779</v>
      </c>
      <c r="N35" s="19">
        <f t="shared" si="14"/>
        <v>48.730883728134401</v>
      </c>
      <c r="O35" s="19">
        <f t="shared" si="14"/>
        <v>48.99399414228661</v>
      </c>
      <c r="P35" s="19">
        <f t="shared" si="14"/>
        <v>49.258525156369267</v>
      </c>
      <c r="Q35" s="19">
        <f t="shared" si="14"/>
        <v>49.524484440562105</v>
      </c>
      <c r="R35" s="19">
        <f t="shared" si="14"/>
        <v>49.79187970645809</v>
      </c>
      <c r="S35" s="19">
        <f t="shared" si="14"/>
        <v>50.06071870728703</v>
      </c>
      <c r="T35" s="19">
        <f t="shared" si="14"/>
        <v>50.331009238140403</v>
      </c>
      <c r="U35" s="19">
        <f t="shared" si="14"/>
        <v>50.602759136197349</v>
      </c>
      <c r="V35" s="19">
        <f t="shared" si="14"/>
        <v>50.875976280951939</v>
      </c>
      <c r="W35" s="19">
        <f t="shared" si="14"/>
        <v>51.150668594441647</v>
      </c>
      <c r="X35" s="19">
        <f t="shared" si="14"/>
        <v>51.426844041477018</v>
      </c>
      <c r="Y35" s="19">
        <f t="shared" si="14"/>
        <v>51.70451062987263</v>
      </c>
      <c r="Z35" s="19">
        <f t="shared" si="14"/>
        <v>51.98367641067928</v>
      </c>
      <c r="AA35" s="19">
        <f t="shared" si="14"/>
        <v>52.264349478417465</v>
      </c>
      <c r="AB35" s="19">
        <f t="shared" si="14"/>
        <v>52.54653797131202</v>
      </c>
      <c r="AC35" s="19">
        <f t="shared" si="14"/>
        <v>52.830250071528127</v>
      </c>
      <c r="AD35" s="19">
        <f t="shared" si="14"/>
        <v>53.115494005408593</v>
      </c>
      <c r="AE35" s="19">
        <f t="shared" si="14"/>
        <v>53.402278043712279</v>
      </c>
      <c r="AF35" s="19">
        <f t="shared" si="14"/>
        <v>53.690610501854025</v>
      </c>
      <c r="AG35" s="19">
        <f t="shared" si="14"/>
        <v>53.98049974014566</v>
      </c>
      <c r="AH35" s="19">
        <f t="shared" si="14"/>
        <v>54.271954164038505</v>
      </c>
      <c r="AI35" s="19">
        <f t="shared" si="14"/>
        <v>54.564982224367029</v>
      </c>
      <c r="AJ35" s="19">
        <f t="shared" si="14"/>
        <v>54.85959241759388</v>
      </c>
      <c r="AK35" s="19">
        <f t="shared" si="14"/>
        <v>55.155793286056287</v>
      </c>
      <c r="AL35" s="19">
        <f t="shared" si="14"/>
        <v>55.453593418213742</v>
      </c>
      <c r="AM35" s="19">
        <f t="shared" si="14"/>
        <v>55.753001448896974</v>
      </c>
      <c r="AN35" s="19">
        <f t="shared" si="14"/>
        <v>56.054026059558375</v>
      </c>
      <c r="AO35" s="19">
        <f t="shared" si="14"/>
        <v>56.356675978523711</v>
      </c>
      <c r="AP35" s="19">
        <f t="shared" si="14"/>
        <v>56.660959981245171</v>
      </c>
      <c r="AQ35" s="19">
        <f t="shared" si="14"/>
        <v>56.966886890555863</v>
      </c>
      <c r="AR35" s="19">
        <f t="shared" si="14"/>
        <v>57.274465576925607</v>
      </c>
    </row>
    <row r="36" spans="1:44">
      <c r="B36" s="1" t="s">
        <v>74</v>
      </c>
      <c r="C36" s="87" t="s">
        <v>75</v>
      </c>
      <c r="D36" s="86">
        <f>Inputs!$E$32</f>
        <v>365</v>
      </c>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row>
    <row r="37" spans="1:44">
      <c r="B37" s="1" t="s">
        <v>316</v>
      </c>
      <c r="C37" s="22" t="s">
        <v>267</v>
      </c>
      <c r="D37" s="86">
        <f>SUM(F37:AR37)</f>
        <v>737366.04661818012</v>
      </c>
      <c r="F37" s="19">
        <f>F35*$D$36</f>
        <v>17036.825804994452</v>
      </c>
      <c r="G37" s="19">
        <f t="shared" ref="G37:AR37" si="15">G35*$D$36</f>
        <v>17128.811953212058</v>
      </c>
      <c r="H37" s="19">
        <f t="shared" si="15"/>
        <v>17221.294757999425</v>
      </c>
      <c r="I37" s="19">
        <f t="shared" si="15"/>
        <v>17314.276900931472</v>
      </c>
      <c r="J37" s="19">
        <f t="shared" si="15"/>
        <v>17407.761078061631</v>
      </c>
      <c r="K37" s="19">
        <f t="shared" si="15"/>
        <v>17501.75</v>
      </c>
      <c r="L37" s="19">
        <f t="shared" si="15"/>
        <v>17596.246391991961</v>
      </c>
      <c r="M37" s="19">
        <f t="shared" si="15"/>
        <v>17691.252993997179</v>
      </c>
      <c r="N37" s="19">
        <f t="shared" si="15"/>
        <v>17786.772560769055</v>
      </c>
      <c r="O37" s="19">
        <f t="shared" si="15"/>
        <v>17882.807861934612</v>
      </c>
      <c r="P37" s="19">
        <f t="shared" si="15"/>
        <v>17979.361682074781</v>
      </c>
      <c r="Q37" s="19">
        <f t="shared" si="15"/>
        <v>18076.436820805167</v>
      </c>
      <c r="R37" s="19">
        <f t="shared" si="15"/>
        <v>18174.036092857204</v>
      </c>
      <c r="S37" s="19">
        <f t="shared" si="15"/>
        <v>18272.162328159768</v>
      </c>
      <c r="T37" s="19">
        <f t="shared" si="15"/>
        <v>18370.818371921247</v>
      </c>
      <c r="U37" s="19">
        <f t="shared" si="15"/>
        <v>18470.007084712033</v>
      </c>
      <c r="V37" s="19">
        <f t="shared" si="15"/>
        <v>18569.731342547457</v>
      </c>
      <c r="W37" s="19">
        <f t="shared" si="15"/>
        <v>18669.994036971202</v>
      </c>
      <c r="X37" s="19">
        <f t="shared" si="15"/>
        <v>18770.798075139111</v>
      </c>
      <c r="Y37" s="19">
        <f t="shared" si="15"/>
        <v>18872.146379903508</v>
      </c>
      <c r="Z37" s="19">
        <f t="shared" si="15"/>
        <v>18974.041889897937</v>
      </c>
      <c r="AA37" s="19">
        <f t="shared" si="15"/>
        <v>19076.487559622376</v>
      </c>
      <c r="AB37" s="19">
        <f t="shared" si="15"/>
        <v>19179.486359528888</v>
      </c>
      <c r="AC37" s="19">
        <f t="shared" si="15"/>
        <v>19283.041276107768</v>
      </c>
      <c r="AD37" s="19">
        <f t="shared" si="15"/>
        <v>19387.155311974137</v>
      </c>
      <c r="AE37" s="19">
        <f t="shared" si="15"/>
        <v>19491.831485954983</v>
      </c>
      <c r="AF37" s="19">
        <f t="shared" si="15"/>
        <v>19597.07283317672</v>
      </c>
      <c r="AG37" s="19">
        <f t="shared" si="15"/>
        <v>19702.882405153166</v>
      </c>
      <c r="AH37" s="19">
        <f t="shared" si="15"/>
        <v>19809.263269874053</v>
      </c>
      <c r="AI37" s="19">
        <f t="shared" si="15"/>
        <v>19916.218511893967</v>
      </c>
      <c r="AJ37" s="19">
        <f t="shared" si="15"/>
        <v>20023.751232421768</v>
      </c>
      <c r="AK37" s="19">
        <f t="shared" si="15"/>
        <v>20131.864549410544</v>
      </c>
      <c r="AL37" s="19">
        <f t="shared" si="15"/>
        <v>20240.561597648015</v>
      </c>
      <c r="AM37" s="19">
        <f t="shared" si="15"/>
        <v>20349.845528847396</v>
      </c>
      <c r="AN37" s="19">
        <f t="shared" si="15"/>
        <v>20459.719511738807</v>
      </c>
      <c r="AO37" s="19">
        <f t="shared" si="15"/>
        <v>20570.186732161153</v>
      </c>
      <c r="AP37" s="19">
        <f t="shared" si="15"/>
        <v>20681.250393154489</v>
      </c>
      <c r="AQ37" s="19">
        <f t="shared" si="15"/>
        <v>20792.913715052891</v>
      </c>
      <c r="AR37" s="19">
        <f t="shared" si="15"/>
        <v>20905.179935577846</v>
      </c>
    </row>
    <row r="38" spans="1:44">
      <c r="C38" s="22"/>
      <c r="D38" s="86"/>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row>
    <row r="39" spans="1:44" ht="15">
      <c r="A39" s="2" t="s">
        <v>317</v>
      </c>
      <c r="C39" s="22"/>
      <c r="D39" s="18"/>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row>
    <row r="40" spans="1:44" ht="15">
      <c r="A40" s="2"/>
      <c r="B40" s="1" t="s">
        <v>318</v>
      </c>
      <c r="C40" s="22" t="s">
        <v>92</v>
      </c>
      <c r="D40" s="296">
        <f>Inputs!$E$42</f>
        <v>8</v>
      </c>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row>
    <row r="41" spans="1:44" ht="15">
      <c r="A41" s="2"/>
      <c r="B41" s="1" t="s">
        <v>318</v>
      </c>
      <c r="C41" s="22" t="s">
        <v>319</v>
      </c>
      <c r="D41" s="316">
        <f>Inputs!$E$141</f>
        <v>0.18</v>
      </c>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row>
    <row r="42" spans="1:44">
      <c r="B42" s="1" t="s">
        <v>316</v>
      </c>
      <c r="C42" s="22" t="s">
        <v>275</v>
      </c>
      <c r="D42" s="86">
        <f>SUM(F42:AR42)</f>
        <v>4155.8008106856332</v>
      </c>
      <c r="F42" s="19">
        <f>$D$40*$D$41*F$29</f>
        <v>96.0196835976204</v>
      </c>
      <c r="G42" s="19">
        <f t="shared" ref="G42:AR42" si="16">$D$40*$D$41*G$29</f>
        <v>96.538118249022958</v>
      </c>
      <c r="H42" s="19">
        <f t="shared" si="16"/>
        <v>97.059352060740395</v>
      </c>
      <c r="I42" s="19">
        <f t="shared" si="16"/>
        <v>97.583400146149998</v>
      </c>
      <c r="J42" s="19">
        <f t="shared" si="16"/>
        <v>98.110277700229943</v>
      </c>
      <c r="K42" s="19">
        <f t="shared" si="16"/>
        <v>98.640000000000015</v>
      </c>
      <c r="L42" s="19">
        <f t="shared" si="16"/>
        <v>99.172582404964487</v>
      </c>
      <c r="M42" s="19">
        <f t="shared" si="16"/>
        <v>99.708040357557479</v>
      </c>
      <c r="N42" s="19">
        <f t="shared" si="16"/>
        <v>100.24638938359077</v>
      </c>
      <c r="O42" s="19">
        <f t="shared" si="16"/>
        <v>100.78764509270388</v>
      </c>
      <c r="P42" s="19">
        <f t="shared" si="16"/>
        <v>101.33182317881678</v>
      </c>
      <c r="Q42" s="19">
        <f t="shared" si="16"/>
        <v>101.8789394205849</v>
      </c>
      <c r="R42" s="19">
        <f t="shared" si="16"/>
        <v>102.42900968185664</v>
      </c>
      <c r="S42" s="19">
        <f t="shared" si="16"/>
        <v>102.98204991213331</v>
      </c>
      <c r="T42" s="19">
        <f t="shared" si="16"/>
        <v>103.53807614703167</v>
      </c>
      <c r="U42" s="19">
        <f t="shared" si="16"/>
        <v>104.09710450874884</v>
      </c>
      <c r="V42" s="19">
        <f t="shared" si="16"/>
        <v>104.65915120652971</v>
      </c>
      <c r="W42" s="19">
        <f t="shared" si="16"/>
        <v>105.22423253713711</v>
      </c>
      <c r="X42" s="19">
        <f t="shared" si="16"/>
        <v>105.79236488532415</v>
      </c>
      <c r="Y42" s="19">
        <f t="shared" si="16"/>
        <v>106.3635647243094</v>
      </c>
      <c r="Z42" s="19">
        <f t="shared" si="16"/>
        <v>106.93784861625451</v>
      </c>
      <c r="AA42" s="19">
        <f t="shared" si="16"/>
        <v>107.51523321274449</v>
      </c>
      <c r="AB42" s="19">
        <f t="shared" si="16"/>
        <v>108.09573525527044</v>
      </c>
      <c r="AC42" s="19">
        <f t="shared" si="16"/>
        <v>108.67937157571502</v>
      </c>
      <c r="AD42" s="19">
        <f t="shared" si="16"/>
        <v>109.26615909684052</v>
      </c>
      <c r="AE42" s="19">
        <f t="shared" si="16"/>
        <v>109.85611483277955</v>
      </c>
      <c r="AF42" s="19">
        <f t="shared" si="16"/>
        <v>110.44925588952826</v>
      </c>
      <c r="AG42" s="19">
        <f t="shared" si="16"/>
        <v>111.04559946544249</v>
      </c>
      <c r="AH42" s="19">
        <f t="shared" si="16"/>
        <v>111.64516285173636</v>
      </c>
      <c r="AI42" s="19">
        <f t="shared" si="16"/>
        <v>112.2479634329836</v>
      </c>
      <c r="AJ42" s="19">
        <f t="shared" si="16"/>
        <v>112.8540186876217</v>
      </c>
      <c r="AK42" s="19">
        <f t="shared" si="16"/>
        <v>113.46334618845866</v>
      </c>
      <c r="AL42" s="19">
        <f t="shared" si="16"/>
        <v>114.07596360318256</v>
      </c>
      <c r="AM42" s="19">
        <f t="shared" si="16"/>
        <v>114.69188869487377</v>
      </c>
      <c r="AN42" s="19">
        <f t="shared" si="16"/>
        <v>115.31113932252009</v>
      </c>
      <c r="AO42" s="19">
        <f t="shared" si="16"/>
        <v>115.93373344153449</v>
      </c>
      <c r="AP42" s="19">
        <f t="shared" si="16"/>
        <v>116.55968910427578</v>
      </c>
      <c r="AQ42" s="19">
        <f t="shared" si="16"/>
        <v>117.18902446057206</v>
      </c>
      <c r="AR42" s="19">
        <f t="shared" si="16"/>
        <v>117.82175775824696</v>
      </c>
    </row>
    <row r="43" spans="1:44">
      <c r="B43" s="1" t="s">
        <v>74</v>
      </c>
      <c r="C43" s="87" t="s">
        <v>75</v>
      </c>
      <c r="D43" s="86">
        <f>Inputs!$E$32</f>
        <v>365</v>
      </c>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row>
    <row r="44" spans="1:44">
      <c r="B44" s="1" t="s">
        <v>316</v>
      </c>
      <c r="C44" s="22" t="s">
        <v>267</v>
      </c>
      <c r="D44" s="86">
        <f>SUM(F44:AR44)</f>
        <v>1516867.2959002564</v>
      </c>
      <c r="F44" s="19">
        <f>F42*$D$36</f>
        <v>35047.184513131448</v>
      </c>
      <c r="G44" s="19">
        <f t="shared" ref="G44:AR44" si="17">G42*$D$36</f>
        <v>35236.413160893382</v>
      </c>
      <c r="H44" s="19">
        <f t="shared" si="17"/>
        <v>35426.663502170246</v>
      </c>
      <c r="I44" s="19">
        <f t="shared" si="17"/>
        <v>35617.941053344752</v>
      </c>
      <c r="J44" s="19">
        <f t="shared" si="17"/>
        <v>35810.251360583927</v>
      </c>
      <c r="K44" s="19">
        <f t="shared" si="17"/>
        <v>36003.600000000006</v>
      </c>
      <c r="L44" s="19">
        <f t="shared" si="17"/>
        <v>36197.992577812038</v>
      </c>
      <c r="M44" s="19">
        <f t="shared" si="17"/>
        <v>36393.434730508481</v>
      </c>
      <c r="N44" s="19">
        <f t="shared" si="17"/>
        <v>36589.93212501063</v>
      </c>
      <c r="O44" s="19">
        <f t="shared" si="17"/>
        <v>36787.490458836917</v>
      </c>
      <c r="P44" s="19">
        <f t="shared" si="17"/>
        <v>36986.11546026812</v>
      </c>
      <c r="Q44" s="19">
        <f t="shared" si="17"/>
        <v>37185.812888513487</v>
      </c>
      <c r="R44" s="19">
        <f t="shared" si="17"/>
        <v>37386.588533877672</v>
      </c>
      <c r="S44" s="19">
        <f t="shared" si="17"/>
        <v>37588.448217928657</v>
      </c>
      <c r="T44" s="19">
        <f t="shared" si="17"/>
        <v>37791.397793666561</v>
      </c>
      <c r="U44" s="19">
        <f t="shared" si="17"/>
        <v>37995.443145693331</v>
      </c>
      <c r="V44" s="19">
        <f t="shared" si="17"/>
        <v>38200.590190383344</v>
      </c>
      <c r="W44" s="19">
        <f t="shared" si="17"/>
        <v>38406.844876055045</v>
      </c>
      <c r="X44" s="19">
        <f t="shared" si="17"/>
        <v>38614.213183143314</v>
      </c>
      <c r="Y44" s="19">
        <f t="shared" si="17"/>
        <v>38822.701124372928</v>
      </c>
      <c r="Z44" s="19">
        <f t="shared" si="17"/>
        <v>39032.314744932897</v>
      </c>
      <c r="AA44" s="19">
        <f t="shared" si="17"/>
        <v>39243.060122651739</v>
      </c>
      <c r="AB44" s="19">
        <f t="shared" si="17"/>
        <v>39454.943368173714</v>
      </c>
      <c r="AC44" s="19">
        <f t="shared" si="17"/>
        <v>39667.970625135982</v>
      </c>
      <c r="AD44" s="19">
        <f t="shared" si="17"/>
        <v>39882.14807034679</v>
      </c>
      <c r="AE44" s="19">
        <f t="shared" si="17"/>
        <v>40097.481913964541</v>
      </c>
      <c r="AF44" s="19">
        <f t="shared" si="17"/>
        <v>40313.978399677813</v>
      </c>
      <c r="AG44" s="19">
        <f t="shared" si="17"/>
        <v>40531.643804886509</v>
      </c>
      <c r="AH44" s="19">
        <f t="shared" si="17"/>
        <v>40750.484440883774</v>
      </c>
      <c r="AI44" s="19">
        <f t="shared" si="17"/>
        <v>40970.50665303901</v>
      </c>
      <c r="AJ44" s="19">
        <f t="shared" si="17"/>
        <v>41191.716820981921</v>
      </c>
      <c r="AK44" s="19">
        <f t="shared" si="17"/>
        <v>41414.121358787408</v>
      </c>
      <c r="AL44" s="19">
        <f t="shared" si="17"/>
        <v>41637.726715161632</v>
      </c>
      <c r="AM44" s="19">
        <f t="shared" si="17"/>
        <v>41862.539373628926</v>
      </c>
      <c r="AN44" s="19">
        <f t="shared" si="17"/>
        <v>42088.565852719832</v>
      </c>
      <c r="AO44" s="19">
        <f t="shared" si="17"/>
        <v>42315.81270616009</v>
      </c>
      <c r="AP44" s="19">
        <f t="shared" si="17"/>
        <v>42544.286523060655</v>
      </c>
      <c r="AQ44" s="19">
        <f t="shared" si="17"/>
        <v>42773.993928108801</v>
      </c>
      <c r="AR44" s="19">
        <f t="shared" si="17"/>
        <v>43004.94158176014</v>
      </c>
    </row>
    <row r="45" spans="1:44">
      <c r="C45" s="22"/>
      <c r="D45" s="86"/>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row>
    <row r="46" spans="1:44" ht="15">
      <c r="A46" s="2" t="s">
        <v>320</v>
      </c>
      <c r="C46" s="22"/>
      <c r="D46" s="18"/>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row>
    <row r="47" spans="1:44" ht="15">
      <c r="A47" s="2"/>
      <c r="B47" s="1" t="s">
        <v>321</v>
      </c>
      <c r="C47" s="22" t="s">
        <v>92</v>
      </c>
      <c r="D47" s="296">
        <f>Inputs!$E$43</f>
        <v>4</v>
      </c>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row>
    <row r="48" spans="1:44" ht="15">
      <c r="A48" s="2"/>
      <c r="B48" s="1" t="s">
        <v>318</v>
      </c>
      <c r="C48" s="22" t="s">
        <v>319</v>
      </c>
      <c r="D48" s="316">
        <f>Inputs!$E$142</f>
        <v>0.48</v>
      </c>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row>
    <row r="49" spans="1:44">
      <c r="B49" s="1" t="s">
        <v>316</v>
      </c>
      <c r="C49" s="22" t="s">
        <v>275</v>
      </c>
      <c r="D49" s="86">
        <f>SUM(F49:AR49)</f>
        <v>5541.0677475808452</v>
      </c>
      <c r="F49" s="19">
        <f>$D$47*$D$48*F$29</f>
        <v>128.0262447968272</v>
      </c>
      <c r="G49" s="19">
        <f t="shared" ref="G49:AR49" si="18">$D$47*$D$48*G$29</f>
        <v>128.71749099869729</v>
      </c>
      <c r="H49" s="19">
        <f t="shared" si="18"/>
        <v>129.41246941432053</v>
      </c>
      <c r="I49" s="19">
        <f t="shared" si="18"/>
        <v>130.11120019486665</v>
      </c>
      <c r="J49" s="19">
        <f t="shared" si="18"/>
        <v>130.81370360030658</v>
      </c>
      <c r="K49" s="19">
        <f t="shared" si="18"/>
        <v>131.52000000000001</v>
      </c>
      <c r="L49" s="19">
        <f t="shared" si="18"/>
        <v>132.23010987328598</v>
      </c>
      <c r="M49" s="19">
        <f t="shared" si="18"/>
        <v>132.94405381007664</v>
      </c>
      <c r="N49" s="19">
        <f t="shared" si="18"/>
        <v>133.66185251145436</v>
      </c>
      <c r="O49" s="19">
        <f t="shared" si="18"/>
        <v>134.38352679027184</v>
      </c>
      <c r="P49" s="19">
        <f t="shared" si="18"/>
        <v>135.10909757175571</v>
      </c>
      <c r="Q49" s="19">
        <f t="shared" si="18"/>
        <v>135.83858589411321</v>
      </c>
      <c r="R49" s="19">
        <f t="shared" si="18"/>
        <v>136.57201290914219</v>
      </c>
      <c r="S49" s="19">
        <f t="shared" si="18"/>
        <v>137.30939988284442</v>
      </c>
      <c r="T49" s="19">
        <f t="shared" si="18"/>
        <v>138.05076819604224</v>
      </c>
      <c r="U49" s="19">
        <f t="shared" si="18"/>
        <v>138.79613934499844</v>
      </c>
      <c r="V49" s="19">
        <f t="shared" si="18"/>
        <v>139.54553494203964</v>
      </c>
      <c r="W49" s="19">
        <f t="shared" si="18"/>
        <v>140.29897671618281</v>
      </c>
      <c r="X49" s="19">
        <f t="shared" si="18"/>
        <v>141.05648651376552</v>
      </c>
      <c r="Y49" s="19">
        <f t="shared" si="18"/>
        <v>141.8180862990792</v>
      </c>
      <c r="Z49" s="19">
        <f t="shared" si="18"/>
        <v>142.58379815500601</v>
      </c>
      <c r="AA49" s="19">
        <f t="shared" si="18"/>
        <v>143.35364428365932</v>
      </c>
      <c r="AB49" s="19">
        <f t="shared" si="18"/>
        <v>144.12764700702726</v>
      </c>
      <c r="AC49" s="19">
        <f t="shared" si="18"/>
        <v>144.90582876762002</v>
      </c>
      <c r="AD49" s="19">
        <f t="shared" si="18"/>
        <v>145.6882121291207</v>
      </c>
      <c r="AE49" s="19">
        <f t="shared" si="18"/>
        <v>146.47481977703939</v>
      </c>
      <c r="AF49" s="19">
        <f t="shared" si="18"/>
        <v>147.265674519371</v>
      </c>
      <c r="AG49" s="19">
        <f t="shared" si="18"/>
        <v>148.06079928725666</v>
      </c>
      <c r="AH49" s="19">
        <f t="shared" si="18"/>
        <v>148.86021713564847</v>
      </c>
      <c r="AI49" s="19">
        <f t="shared" si="18"/>
        <v>149.66395124397812</v>
      </c>
      <c r="AJ49" s="19">
        <f t="shared" si="18"/>
        <v>150.47202491682893</v>
      </c>
      <c r="AK49" s="19">
        <f t="shared" si="18"/>
        <v>151.28446158461153</v>
      </c>
      <c r="AL49" s="19">
        <f t="shared" si="18"/>
        <v>152.10128480424342</v>
      </c>
      <c r="AM49" s="19">
        <f t="shared" si="18"/>
        <v>152.92251825983169</v>
      </c>
      <c r="AN49" s="19">
        <f t="shared" si="18"/>
        <v>153.74818576336011</v>
      </c>
      <c r="AO49" s="19">
        <f t="shared" si="18"/>
        <v>154.5783112553793</v>
      </c>
      <c r="AP49" s="19">
        <f t="shared" si="18"/>
        <v>155.41291880570105</v>
      </c>
      <c r="AQ49" s="19">
        <f t="shared" si="18"/>
        <v>156.25203261409609</v>
      </c>
      <c r="AR49" s="19">
        <f t="shared" si="18"/>
        <v>157.09567701099596</v>
      </c>
    </row>
    <row r="50" spans="1:44">
      <c r="B50" s="1" t="s">
        <v>74</v>
      </c>
      <c r="C50" s="87" t="s">
        <v>75</v>
      </c>
      <c r="D50" s="86">
        <f>Inputs!$E$32</f>
        <v>365</v>
      </c>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row>
    <row r="51" spans="1:44">
      <c r="B51" s="1" t="s">
        <v>316</v>
      </c>
      <c r="C51" s="22" t="s">
        <v>267</v>
      </c>
      <c r="D51" s="86">
        <f>SUM(F51:AR51)</f>
        <v>2022489.7278670084</v>
      </c>
      <c r="F51" s="19">
        <f>F49*$D$36</f>
        <v>46729.57935084193</v>
      </c>
      <c r="G51" s="19">
        <f t="shared" ref="G51:AR51" si="19">G49*$D$36</f>
        <v>46981.884214524507</v>
      </c>
      <c r="H51" s="19">
        <f t="shared" si="19"/>
        <v>47235.551336226992</v>
      </c>
      <c r="I51" s="19">
        <f t="shared" si="19"/>
        <v>47490.588071126331</v>
      </c>
      <c r="J51" s="19">
        <f t="shared" si="19"/>
        <v>47747.0018141119</v>
      </c>
      <c r="K51" s="19">
        <f t="shared" si="19"/>
        <v>48004.800000000003</v>
      </c>
      <c r="L51" s="19">
        <f t="shared" si="19"/>
        <v>48263.990103749384</v>
      </c>
      <c r="M51" s="19">
        <f t="shared" si="19"/>
        <v>48524.57964067797</v>
      </c>
      <c r="N51" s="19">
        <f t="shared" si="19"/>
        <v>48786.576166680839</v>
      </c>
      <c r="O51" s="19">
        <f t="shared" si="19"/>
        <v>49049.987278449225</v>
      </c>
      <c r="P51" s="19">
        <f t="shared" si="19"/>
        <v>49314.820613690834</v>
      </c>
      <c r="Q51" s="19">
        <f t="shared" si="19"/>
        <v>49581.083851351323</v>
      </c>
      <c r="R51" s="19">
        <f t="shared" si="19"/>
        <v>49848.784711836895</v>
      </c>
      <c r="S51" s="19">
        <f t="shared" si="19"/>
        <v>50117.930957238212</v>
      </c>
      <c r="T51" s="19">
        <f t="shared" si="19"/>
        <v>50388.530391555418</v>
      </c>
      <c r="U51" s="19">
        <f t="shared" si="19"/>
        <v>50660.590860924429</v>
      </c>
      <c r="V51" s="19">
        <f t="shared" si="19"/>
        <v>50934.12025384447</v>
      </c>
      <c r="W51" s="19">
        <f t="shared" si="19"/>
        <v>51209.126501406725</v>
      </c>
      <c r="X51" s="19">
        <f t="shared" si="19"/>
        <v>51485.617577524412</v>
      </c>
      <c r="Y51" s="19">
        <f t="shared" si="19"/>
        <v>51763.601499163909</v>
      </c>
      <c r="Z51" s="19">
        <f t="shared" si="19"/>
        <v>52043.086326577191</v>
      </c>
      <c r="AA51" s="19">
        <f t="shared" si="19"/>
        <v>52324.080163535655</v>
      </c>
      <c r="AB51" s="19">
        <f t="shared" si="19"/>
        <v>52606.591157564952</v>
      </c>
      <c r="AC51" s="19">
        <f t="shared" si="19"/>
        <v>52890.627500181305</v>
      </c>
      <c r="AD51" s="19">
        <f t="shared" si="19"/>
        <v>53176.197427129053</v>
      </c>
      <c r="AE51" s="19">
        <f t="shared" si="19"/>
        <v>53463.309218619375</v>
      </c>
      <c r="AF51" s="19">
        <f t="shared" si="19"/>
        <v>53751.971199570413</v>
      </c>
      <c r="AG51" s="19">
        <f t="shared" si="19"/>
        <v>54042.191739848677</v>
      </c>
      <c r="AH51" s="19">
        <f t="shared" si="19"/>
        <v>54333.979254511694</v>
      </c>
      <c r="AI51" s="19">
        <f t="shared" si="19"/>
        <v>54627.342204052016</v>
      </c>
      <c r="AJ51" s="19">
        <f t="shared" si="19"/>
        <v>54922.289094642561</v>
      </c>
      <c r="AK51" s="19">
        <f t="shared" si="19"/>
        <v>55218.828478383213</v>
      </c>
      <c r="AL51" s="19">
        <f t="shared" si="19"/>
        <v>55516.968953548851</v>
      </c>
      <c r="AM51" s="19">
        <f t="shared" si="19"/>
        <v>55816.719164838571</v>
      </c>
      <c r="AN51" s="19">
        <f t="shared" si="19"/>
        <v>56118.08780362644</v>
      </c>
      <c r="AO51" s="19">
        <f t="shared" si="19"/>
        <v>56421.083608213448</v>
      </c>
      <c r="AP51" s="19">
        <f t="shared" si="19"/>
        <v>56725.715364080883</v>
      </c>
      <c r="AQ51" s="19">
        <f t="shared" si="19"/>
        <v>57031.991904145078</v>
      </c>
      <c r="AR51" s="19">
        <f t="shared" si="19"/>
        <v>57339.922109013525</v>
      </c>
    </row>
    <row r="52" spans="1:44">
      <c r="C52" s="22"/>
      <c r="D52" s="86"/>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row>
    <row r="53" spans="1:44" ht="15">
      <c r="A53" s="2" t="s">
        <v>254</v>
      </c>
      <c r="C53" s="22" t="s">
        <v>267</v>
      </c>
      <c r="D53" s="86">
        <f>SUM(F53:AR53)</f>
        <v>4276723.0703854458</v>
      </c>
      <c r="F53" s="19">
        <f>F37+F44+F51</f>
        <v>98813.589668967834</v>
      </c>
      <c r="G53" s="19">
        <f t="shared" ref="G53:AR53" si="20">G37+G44+G51</f>
        <v>99347.109328629944</v>
      </c>
      <c r="H53" s="19">
        <f t="shared" si="20"/>
        <v>99883.509596396674</v>
      </c>
      <c r="I53" s="19">
        <f t="shared" si="20"/>
        <v>100422.80602540256</v>
      </c>
      <c r="J53" s="19">
        <f t="shared" si="20"/>
        <v>100965.01425275745</v>
      </c>
      <c r="K53" s="19">
        <f t="shared" si="20"/>
        <v>101510.15000000001</v>
      </c>
      <c r="L53" s="19">
        <f t="shared" si="20"/>
        <v>102058.22907355338</v>
      </c>
      <c r="M53" s="19">
        <f t="shared" si="20"/>
        <v>102609.26736518362</v>
      </c>
      <c r="N53" s="19">
        <f t="shared" si="20"/>
        <v>103163.28085246052</v>
      </c>
      <c r="O53" s="19">
        <f t="shared" si="20"/>
        <v>103720.28559922075</v>
      </c>
      <c r="P53" s="19">
        <f t="shared" si="20"/>
        <v>104280.29775603375</v>
      </c>
      <c r="Q53" s="19">
        <f t="shared" si="20"/>
        <v>104843.33356066997</v>
      </c>
      <c r="R53" s="19">
        <f t="shared" si="20"/>
        <v>105409.40933857177</v>
      </c>
      <c r="S53" s="19">
        <f t="shared" si="20"/>
        <v>105978.54150332665</v>
      </c>
      <c r="T53" s="19">
        <f t="shared" si="20"/>
        <v>106550.74655714323</v>
      </c>
      <c r="U53" s="19">
        <f t="shared" si="20"/>
        <v>107126.0410913298</v>
      </c>
      <c r="V53" s="19">
        <f t="shared" si="20"/>
        <v>107704.44178677528</v>
      </c>
      <c r="W53" s="19">
        <f t="shared" si="20"/>
        <v>108285.96541443298</v>
      </c>
      <c r="X53" s="19">
        <f t="shared" si="20"/>
        <v>108870.62883580683</v>
      </c>
      <c r="Y53" s="19">
        <f t="shared" si="20"/>
        <v>109458.44900344034</v>
      </c>
      <c r="Z53" s="19">
        <f t="shared" si="20"/>
        <v>110049.44296140803</v>
      </c>
      <c r="AA53" s="19">
        <f t="shared" si="20"/>
        <v>110643.62784580977</v>
      </c>
      <c r="AB53" s="19">
        <f t="shared" si="20"/>
        <v>111241.02088526756</v>
      </c>
      <c r="AC53" s="19">
        <f t="shared" si="20"/>
        <v>111841.63940142505</v>
      </c>
      <c r="AD53" s="19">
        <f t="shared" si="20"/>
        <v>112445.50080944998</v>
      </c>
      <c r="AE53" s="19">
        <f t="shared" si="20"/>
        <v>113052.62261853891</v>
      </c>
      <c r="AF53" s="19">
        <f t="shared" si="20"/>
        <v>113663.02243242494</v>
      </c>
      <c r="AG53" s="19">
        <f t="shared" si="20"/>
        <v>114276.71794988835</v>
      </c>
      <c r="AH53" s="19">
        <f t="shared" si="20"/>
        <v>114893.72696526952</v>
      </c>
      <c r="AI53" s="19">
        <f t="shared" si="20"/>
        <v>115514.06736898499</v>
      </c>
      <c r="AJ53" s="19">
        <f t="shared" si="20"/>
        <v>116137.75714804625</v>
      </c>
      <c r="AK53" s="19">
        <f t="shared" si="20"/>
        <v>116764.81438658116</v>
      </c>
      <c r="AL53" s="19">
        <f t="shared" si="20"/>
        <v>117395.2572663585</v>
      </c>
      <c r="AM53" s="19">
        <f t="shared" si="20"/>
        <v>118029.10406731488</v>
      </c>
      <c r="AN53" s="19">
        <f t="shared" si="20"/>
        <v>118666.37316808509</v>
      </c>
      <c r="AO53" s="19">
        <f t="shared" si="20"/>
        <v>119307.0830465347</v>
      </c>
      <c r="AP53" s="19">
        <f t="shared" si="20"/>
        <v>119951.25228029603</v>
      </c>
      <c r="AQ53" s="19">
        <f t="shared" si="20"/>
        <v>120598.89954730676</v>
      </c>
      <c r="AR53" s="19">
        <f t="shared" si="20"/>
        <v>121250.04362635151</v>
      </c>
    </row>
    <row r="54" spans="1:44">
      <c r="C54" s="22"/>
      <c r="D54" s="86"/>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row>
    <row r="55" spans="1:44">
      <c r="C55" s="87"/>
      <c r="D55" s="86"/>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row>
    <row r="56" spans="1:44" s="9" customFormat="1">
      <c r="A56" s="8" t="s">
        <v>253</v>
      </c>
      <c r="B56" s="8"/>
      <c r="C56" s="13"/>
    </row>
    <row r="57" spans="1:44" ht="15">
      <c r="A57" s="2" t="s">
        <v>254</v>
      </c>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row>
    <row r="58" spans="1:44">
      <c r="B58" s="1" t="s">
        <v>221</v>
      </c>
      <c r="C58" s="87" t="s">
        <v>80</v>
      </c>
      <c r="D58" s="86">
        <f>SUM(F58:AR58)</f>
        <v>2184335.4623162337</v>
      </c>
      <c r="F58" s="19">
        <f>F$37*F15*F$11</f>
        <v>0</v>
      </c>
      <c r="G58" s="19">
        <f>(G$53-G$25)*G15*G$11</f>
        <v>0</v>
      </c>
      <c r="H58" s="19">
        <f t="shared" ref="H58:AR58" si="21">(H$53-H$25)*H15*H$11</f>
        <v>0</v>
      </c>
      <c r="I58" s="19">
        <f t="shared" si="21"/>
        <v>0</v>
      </c>
      <c r="J58" s="19">
        <f t="shared" si="21"/>
        <v>0</v>
      </c>
      <c r="K58" s="19">
        <f t="shared" si="21"/>
        <v>0</v>
      </c>
      <c r="L58" s="19">
        <f t="shared" si="21"/>
        <v>0</v>
      </c>
      <c r="M58" s="19">
        <f t="shared" si="21"/>
        <v>0</v>
      </c>
      <c r="N58" s="19">
        <f t="shared" si="21"/>
        <v>0</v>
      </c>
      <c r="O58" s="19">
        <f t="shared" si="21"/>
        <v>103720.28559922075</v>
      </c>
      <c r="P58" s="19">
        <f t="shared" si="21"/>
        <v>104280.29775603375</v>
      </c>
      <c r="Q58" s="19">
        <f t="shared" si="21"/>
        <v>104843.33356066997</v>
      </c>
      <c r="R58" s="19">
        <f t="shared" si="21"/>
        <v>105409.40933857177</v>
      </c>
      <c r="S58" s="19">
        <f t="shared" si="21"/>
        <v>105978.54150332665</v>
      </c>
      <c r="T58" s="19">
        <f t="shared" si="21"/>
        <v>106550.74655714323</v>
      </c>
      <c r="U58" s="19">
        <f t="shared" si="21"/>
        <v>107126.0410913298</v>
      </c>
      <c r="V58" s="19">
        <f t="shared" si="21"/>
        <v>107704.44178677528</v>
      </c>
      <c r="W58" s="19">
        <f t="shared" si="21"/>
        <v>108285.96541443298</v>
      </c>
      <c r="X58" s="19">
        <f t="shared" si="21"/>
        <v>108870.62883580683</v>
      </c>
      <c r="Y58" s="19">
        <f t="shared" si="21"/>
        <v>109458.44900344034</v>
      </c>
      <c r="Z58" s="19">
        <f t="shared" si="21"/>
        <v>110049.44296140803</v>
      </c>
      <c r="AA58" s="19">
        <f t="shared" si="21"/>
        <v>110643.62784580977</v>
      </c>
      <c r="AB58" s="19">
        <f t="shared" si="21"/>
        <v>111241.02088526756</v>
      </c>
      <c r="AC58" s="19">
        <f t="shared" si="21"/>
        <v>111841.63940142505</v>
      </c>
      <c r="AD58" s="19">
        <f t="shared" si="21"/>
        <v>112445.50080944998</v>
      </c>
      <c r="AE58" s="19">
        <f t="shared" si="21"/>
        <v>113052.62261853891</v>
      </c>
      <c r="AF58" s="19">
        <f t="shared" si="21"/>
        <v>113663.02243242494</v>
      </c>
      <c r="AG58" s="19">
        <f t="shared" si="21"/>
        <v>114276.71794988835</v>
      </c>
      <c r="AH58" s="19">
        <f t="shared" si="21"/>
        <v>114893.72696526952</v>
      </c>
      <c r="AI58" s="19">
        <f t="shared" si="21"/>
        <v>0</v>
      </c>
      <c r="AJ58" s="19">
        <f t="shared" si="21"/>
        <v>0</v>
      </c>
      <c r="AK58" s="19">
        <f t="shared" si="21"/>
        <v>0</v>
      </c>
      <c r="AL58" s="19">
        <f t="shared" si="21"/>
        <v>0</v>
      </c>
      <c r="AM58" s="19">
        <f t="shared" si="21"/>
        <v>0</v>
      </c>
      <c r="AN58" s="19">
        <f t="shared" si="21"/>
        <v>0</v>
      </c>
      <c r="AO58" s="19">
        <f t="shared" si="21"/>
        <v>0</v>
      </c>
      <c r="AP58" s="19">
        <f t="shared" si="21"/>
        <v>0</v>
      </c>
      <c r="AQ58" s="19">
        <f t="shared" si="21"/>
        <v>0</v>
      </c>
      <c r="AR58" s="19">
        <f t="shared" si="21"/>
        <v>0</v>
      </c>
    </row>
    <row r="59" spans="1:44">
      <c r="B59" s="1" t="s">
        <v>222</v>
      </c>
      <c r="C59" s="87" t="s">
        <v>80</v>
      </c>
      <c r="D59" s="86">
        <f>SUM(F59:AR59)</f>
        <v>1394261.2731173655</v>
      </c>
      <c r="F59" s="19">
        <f>F$37*F16*F$11</f>
        <v>0</v>
      </c>
      <c r="G59" s="19">
        <f t="shared" ref="G59:AR59" si="22">(G$53-G$25)*G16*G$11</f>
        <v>0</v>
      </c>
      <c r="H59" s="19">
        <f t="shared" si="22"/>
        <v>0</v>
      </c>
      <c r="I59" s="19">
        <f t="shared" si="22"/>
        <v>0</v>
      </c>
      <c r="J59" s="19">
        <f t="shared" si="22"/>
        <v>0</v>
      </c>
      <c r="K59" s="19">
        <f t="shared" si="22"/>
        <v>0</v>
      </c>
      <c r="L59" s="19">
        <f t="shared" si="22"/>
        <v>0</v>
      </c>
      <c r="M59" s="19">
        <f t="shared" si="22"/>
        <v>0</v>
      </c>
      <c r="N59" s="19">
        <f t="shared" si="22"/>
        <v>0</v>
      </c>
      <c r="O59" s="19">
        <f t="shared" si="22"/>
        <v>86864.10628807974</v>
      </c>
      <c r="P59" s="19">
        <f t="shared" si="22"/>
        <v>84789.424905788415</v>
      </c>
      <c r="Q59" s="19">
        <f t="shared" si="22"/>
        <v>82764.295669049039</v>
      </c>
      <c r="R59" s="19">
        <f t="shared" si="22"/>
        <v>80787.535063539966</v>
      </c>
      <c r="S59" s="19">
        <f t="shared" si="22"/>
        <v>78857.987842255388</v>
      </c>
      <c r="T59" s="19">
        <f t="shared" si="22"/>
        <v>76974.52635036259</v>
      </c>
      <c r="U59" s="19">
        <f t="shared" si="22"/>
        <v>75136.049866184418</v>
      </c>
      <c r="V59" s="19">
        <f t="shared" si="22"/>
        <v>73341.483957921853</v>
      </c>
      <c r="W59" s="19">
        <f t="shared" si="22"/>
        <v>71589.779855740824</v>
      </c>
      <c r="X59" s="19">
        <f t="shared" si="22"/>
        <v>69879.913838856213</v>
      </c>
      <c r="Y59" s="19">
        <f t="shared" si="22"/>
        <v>68210.886637254895</v>
      </c>
      <c r="Z59" s="19">
        <f t="shared" si="22"/>
        <v>66581.722847707963</v>
      </c>
      <c r="AA59" s="19">
        <f t="shared" si="22"/>
        <v>64991.470363731438</v>
      </c>
      <c r="AB59" s="19">
        <f t="shared" si="22"/>
        <v>63439.1998191616</v>
      </c>
      <c r="AC59" s="19">
        <f t="shared" si="22"/>
        <v>61924.004045020134</v>
      </c>
      <c r="AD59" s="19">
        <f t="shared" si="22"/>
        <v>60444.997539351803</v>
      </c>
      <c r="AE59" s="19">
        <f t="shared" si="22"/>
        <v>59001.315949724427</v>
      </c>
      <c r="AF59" s="19">
        <f t="shared" si="22"/>
        <v>57592.115568089001</v>
      </c>
      <c r="AG59" s="19">
        <f t="shared" si="22"/>
        <v>56216.572837704858</v>
      </c>
      <c r="AH59" s="19">
        <f t="shared" si="22"/>
        <v>54873.883871841244</v>
      </c>
      <c r="AI59" s="19">
        <f t="shared" si="22"/>
        <v>0</v>
      </c>
      <c r="AJ59" s="19">
        <f t="shared" si="22"/>
        <v>0</v>
      </c>
      <c r="AK59" s="19">
        <f t="shared" si="22"/>
        <v>0</v>
      </c>
      <c r="AL59" s="19">
        <f t="shared" si="22"/>
        <v>0</v>
      </c>
      <c r="AM59" s="19">
        <f t="shared" si="22"/>
        <v>0</v>
      </c>
      <c r="AN59" s="19">
        <f t="shared" si="22"/>
        <v>0</v>
      </c>
      <c r="AO59" s="19">
        <f t="shared" si="22"/>
        <v>0</v>
      </c>
      <c r="AP59" s="19">
        <f t="shared" si="22"/>
        <v>0</v>
      </c>
      <c r="AQ59" s="19">
        <f t="shared" si="22"/>
        <v>0</v>
      </c>
      <c r="AR59" s="19">
        <f t="shared" si="22"/>
        <v>0</v>
      </c>
    </row>
    <row r="60" spans="1:44">
      <c r="B60" s="1" t="s">
        <v>223</v>
      </c>
      <c r="C60" s="87" t="s">
        <v>80</v>
      </c>
      <c r="D60" s="86">
        <f>SUM(F60:AR60)</f>
        <v>815280.95944975782</v>
      </c>
      <c r="F60" s="19">
        <f>F$37*F17*F$11</f>
        <v>0</v>
      </c>
      <c r="G60" s="19">
        <f t="shared" ref="G60:AR60" si="23">(G$53-G$25)*G17*G$11</f>
        <v>0</v>
      </c>
      <c r="H60" s="19">
        <f t="shared" si="23"/>
        <v>0</v>
      </c>
      <c r="I60" s="19">
        <f t="shared" si="23"/>
        <v>0</v>
      </c>
      <c r="J60" s="19">
        <f t="shared" si="23"/>
        <v>0</v>
      </c>
      <c r="K60" s="19">
        <f t="shared" si="23"/>
        <v>0</v>
      </c>
      <c r="L60" s="19">
        <f t="shared" si="23"/>
        <v>0</v>
      </c>
      <c r="M60" s="19">
        <f t="shared" si="23"/>
        <v>0</v>
      </c>
      <c r="N60" s="19">
        <f t="shared" si="23"/>
        <v>0</v>
      </c>
      <c r="O60" s="19">
        <f t="shared" si="23"/>
        <v>69113.205761068559</v>
      </c>
      <c r="P60" s="19">
        <f t="shared" si="23"/>
        <v>64940.528511218319</v>
      </c>
      <c r="Q60" s="19">
        <f t="shared" si="23"/>
        <v>61019.774685259166</v>
      </c>
      <c r="R60" s="19">
        <f t="shared" si="23"/>
        <v>57335.734525113789</v>
      </c>
      <c r="S60" s="19">
        <f t="shared" si="23"/>
        <v>53874.116554685912</v>
      </c>
      <c r="T60" s="19">
        <f t="shared" si="23"/>
        <v>50621.492139018199</v>
      </c>
      <c r="U60" s="19">
        <f t="shared" si="23"/>
        <v>47565.243390664858</v>
      </c>
      <c r="V60" s="19">
        <f t="shared" si="23"/>
        <v>44693.514221192338</v>
      </c>
      <c r="W60" s="19">
        <f t="shared" si="23"/>
        <v>41995.164347922866</v>
      </c>
      <c r="X60" s="19">
        <f t="shared" si="23"/>
        <v>39459.72607749889</v>
      </c>
      <c r="Y60" s="19">
        <f t="shared" si="23"/>
        <v>37077.363698619782</v>
      </c>
      <c r="Z60" s="19">
        <f t="shared" si="23"/>
        <v>34838.83532642261</v>
      </c>
      <c r="AA60" s="19">
        <f t="shared" si="23"/>
        <v>32735.457050490721</v>
      </c>
      <c r="AB60" s="19">
        <f t="shared" si="23"/>
        <v>30759.069247409312</v>
      </c>
      <c r="AC60" s="19">
        <f t="shared" si="23"/>
        <v>28902.004927184549</v>
      </c>
      <c r="AD60" s="19">
        <f t="shared" si="23"/>
        <v>27157.059990732832</v>
      </c>
      <c r="AE60" s="19">
        <f t="shared" si="23"/>
        <v>25517.465283060043</v>
      </c>
      <c r="AF60" s="19">
        <f t="shared" si="23"/>
        <v>23976.860333716973</v>
      </c>
      <c r="AG60" s="19">
        <f t="shared" si="23"/>
        <v>22529.268682662434</v>
      </c>
      <c r="AH60" s="19">
        <f t="shared" si="23"/>
        <v>21169.074695815667</v>
      </c>
      <c r="AI60" s="19">
        <f t="shared" si="23"/>
        <v>0</v>
      </c>
      <c r="AJ60" s="19">
        <f t="shared" si="23"/>
        <v>0</v>
      </c>
      <c r="AK60" s="19">
        <f t="shared" si="23"/>
        <v>0</v>
      </c>
      <c r="AL60" s="19">
        <f t="shared" si="23"/>
        <v>0</v>
      </c>
      <c r="AM60" s="19">
        <f t="shared" si="23"/>
        <v>0</v>
      </c>
      <c r="AN60" s="19">
        <f t="shared" si="23"/>
        <v>0</v>
      </c>
      <c r="AO60" s="19">
        <f t="shared" si="23"/>
        <v>0</v>
      </c>
      <c r="AP60" s="19">
        <f t="shared" si="23"/>
        <v>0</v>
      </c>
      <c r="AQ60" s="19">
        <f t="shared" si="23"/>
        <v>0</v>
      </c>
      <c r="AR60" s="19">
        <f t="shared" si="23"/>
        <v>0</v>
      </c>
    </row>
    <row r="61" spans="1:44">
      <c r="C61" s="87"/>
      <c r="D61" s="86"/>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row>
  </sheetData>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732FAF92C6BD43913D1B8554C5CA89" ma:contentTypeVersion="25" ma:contentTypeDescription="Create a new document." ma:contentTypeScope="" ma:versionID="7c95efbaf37e2b1f0ec6429013731747">
  <xsd:schema xmlns:xsd="http://www.w3.org/2001/XMLSchema" xmlns:xs="http://www.w3.org/2001/XMLSchema" xmlns:p="http://schemas.microsoft.com/office/2006/metadata/properties" xmlns:ns1="http://schemas.microsoft.com/sharepoint/v3" xmlns:ns2="f40aa4e5-11f0-47b3-bb66-a9479c39c64d" xmlns:ns3="44259822-5f70-4047-b4aa-84c0187a967b" targetNamespace="http://schemas.microsoft.com/office/2006/metadata/properties" ma:root="true" ma:fieldsID="94f16073e4120a35d4a4142f703d1fbc" ns1:_="" ns2:_="" ns3:_="">
    <xsd:import namespace="http://schemas.microsoft.com/sharepoint/v3"/>
    <xsd:import namespace="f40aa4e5-11f0-47b3-bb66-a9479c39c64d"/>
    <xsd:import namespace="44259822-5f70-4047-b4aa-84c0187a967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1:_ip_UnifiedCompliancePolicyProperties" minOccurs="0"/>
                <xsd:element ref="ns1:_ip_UnifiedCompliancePolicyUIAction" minOccurs="0"/>
                <xsd:element ref="ns2:MediaServiceAutoKeyPoints" minOccurs="0"/>
                <xsd:element ref="ns2:MediaServiceKeyPoints" minOccurs="0"/>
                <xsd:element ref="ns2:Processed"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40aa4e5-11f0-47b3-bb66-a9479c39c64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Processed" ma:index="22" nillable="true" ma:displayName="Processed" ma:default="0" ma:internalName="Processed">
      <xsd:simpleType>
        <xsd:restriction base="dms:Boolean"/>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d309bf2f-0431-460d-a93a-990d633b9c5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259822-5f70-4047-b4aa-84c0187a967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6edb4c5c-10fb-4199-a75f-758e74f6f530}" ma:internalName="TaxCatchAll" ma:showField="CatchAllData" ma:web="44259822-5f70-4047-b4aa-84c0187a96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40aa4e5-11f0-47b3-bb66-a9479c39c64d">
      <Terms xmlns="http://schemas.microsoft.com/office/infopath/2007/PartnerControls"/>
    </lcf76f155ced4ddcb4097134ff3c332f>
    <TaxCatchAll xmlns="44259822-5f70-4047-b4aa-84c0187a967b" xsi:nil="true"/>
    <_ip_UnifiedCompliancePolicyUIAction xmlns="http://schemas.microsoft.com/sharepoint/v3" xsi:nil="true"/>
    <Processed xmlns="f40aa4e5-11f0-47b3-bb66-a9479c39c64d">false</Processed>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9A28F4-D114-4B3C-ADAD-78149FD05ED1}"/>
</file>

<file path=customXml/itemProps2.xml><?xml version="1.0" encoding="utf-8"?>
<ds:datastoreItem xmlns:ds="http://schemas.openxmlformats.org/officeDocument/2006/customXml" ds:itemID="{380CD73D-5AE9-4946-8573-CFE300572A63}"/>
</file>

<file path=customXml/itemProps3.xml><?xml version="1.0" encoding="utf-8"?>
<ds:datastoreItem xmlns:ds="http://schemas.openxmlformats.org/officeDocument/2006/customXml" ds:itemID="{D32FA2BA-374F-4CA6-B087-C6568D24CE2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Bezanson, Matthew R. (Matt)</dc:creator>
  <cp:keywords/>
  <dc:description/>
  <cp:lastModifiedBy/>
  <cp:revision/>
  <dcterms:created xsi:type="dcterms:W3CDTF">2022-04-08T16:18:05Z</dcterms:created>
  <dcterms:modified xsi:type="dcterms:W3CDTF">2023-02-27T15:59:18Z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0x010100FF6FBBB5391AB247AE104B6DB99E2E57</vt:lpwstr>
  </property>
  <property fmtid="{D5CDD505-2E9C-101B-9397-08002B2CF9AE}" pid="3" name="MediaServiceImageTags">
    <vt:lpwstr/>
  </property>
</Properties>
</file>